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ekretariat\2022_06\"/>
    </mc:Choice>
  </mc:AlternateContent>
  <xr:revisionPtr revIDLastSave="0" documentId="8_{23E47476-64DF-4E7D-9D07-E762A20ADAB8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7" l="1"/>
  <c r="V13" i="7"/>
  <c r="U13" i="7"/>
  <c r="T13" i="7"/>
  <c r="S13" i="7"/>
  <c r="R13" i="7"/>
  <c r="X13" i="7" s="1"/>
  <c r="W12" i="7"/>
  <c r="V12" i="7"/>
  <c r="U12" i="7"/>
  <c r="T12" i="7"/>
  <c r="S12" i="7"/>
  <c r="R12" i="7"/>
  <c r="X12" i="7" l="1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H21" i="18" l="1"/>
  <c r="L21" i="18"/>
  <c r="I21" i="18"/>
  <c r="J21" i="18"/>
  <c r="K21" i="18"/>
  <c r="G21" i="18"/>
  <c r="N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F70" i="17"/>
  <c r="G70" i="17"/>
  <c r="H70" i="17"/>
  <c r="I70" i="17"/>
  <c r="J70" i="17"/>
  <c r="K70" i="17"/>
  <c r="L70" i="17"/>
  <c r="M70" i="17"/>
  <c r="N70" i="17"/>
  <c r="E70" i="17"/>
  <c r="M55" i="18" l="1"/>
  <c r="F55" i="18"/>
  <c r="H55" i="18"/>
  <c r="L55" i="18"/>
  <c r="I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5" i="7"/>
  <c r="S25" i="7"/>
  <c r="T25" i="7"/>
  <c r="U25" i="7"/>
  <c r="V25" i="7"/>
  <c r="W25" i="7"/>
  <c r="R26" i="7"/>
  <c r="S26" i="7"/>
  <c r="T26" i="7"/>
  <c r="U26" i="7"/>
  <c r="V26" i="7"/>
  <c r="W26" i="7"/>
  <c r="X21" i="7" l="1"/>
  <c r="X25" i="7"/>
  <c r="X11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4" i="7" s="1"/>
  <c r="H21" i="4"/>
  <c r="V24" i="7" s="1"/>
  <c r="G21" i="4"/>
  <c r="U24" i="7" s="1"/>
  <c r="F21" i="4"/>
  <c r="T24" i="7" s="1"/>
  <c r="E21" i="4"/>
  <c r="S24" i="7" s="1"/>
  <c r="D21" i="4"/>
  <c r="R24" i="7" s="1"/>
  <c r="X24" i="7" s="1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H12" i="7" l="1"/>
  <c r="I12" i="7"/>
  <c r="F12" i="7"/>
  <c r="P13" i="7"/>
  <c r="O13" i="7"/>
  <c r="N13" i="7"/>
  <c r="M13" i="7"/>
  <c r="L13" i="7"/>
  <c r="P12" i="7"/>
  <c r="J13" i="7"/>
  <c r="M12" i="7"/>
  <c r="L12" i="7"/>
  <c r="K12" i="7"/>
  <c r="K13" i="7"/>
  <c r="O12" i="7"/>
  <c r="N12" i="7"/>
  <c r="I13" i="7"/>
  <c r="H13" i="7"/>
  <c r="F13" i="7"/>
  <c r="J12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P11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M11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O11" i="7"/>
  <c r="J11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1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I11" i="7"/>
  <c r="F25" i="7"/>
  <c r="F23" i="7"/>
  <c r="F21" i="7"/>
  <c r="F19" i="7"/>
  <c r="F17" i="7"/>
  <c r="F15" i="7"/>
  <c r="F26" i="7"/>
  <c r="F24" i="7"/>
  <c r="F22" i="7"/>
  <c r="F20" i="7"/>
  <c r="F18" i="7"/>
  <c r="F16" i="7"/>
  <c r="F14" i="7"/>
  <c r="F11" i="7"/>
  <c r="M8" i="4"/>
  <c r="M7" i="4"/>
  <c r="C5" i="1"/>
  <c r="D6" i="15"/>
  <c r="D6" i="7"/>
  <c r="Q13" i="7" l="1"/>
  <c r="Q12" i="7"/>
  <c r="Q18" i="7"/>
  <c r="Q15" i="7"/>
  <c r="Q11" i="7"/>
  <c r="Q20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<sst xmlns="http://schemas.openxmlformats.org/spreadsheetml/2006/main" count="1400" uniqueCount="677">
  <si>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</si>
  <si>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</si>
  <si>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</si>
  <si>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</si>
  <si>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</si>
  <si>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</si>
  <si>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</si>
  <si>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</si>
  <si>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</si>
  <si>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</si>
  <si>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</si>
  <si>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</si>
  <si>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</si>
  <si>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</si>
  <si>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</si>
  <si>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</si>
  <si>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</si>
  <si>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</si>
  <si>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</si>
  <si>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</si>
  <si>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</si>
  <si>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</si>
  <si>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</si>
  <si>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</si>
  <si>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</si>
  <si>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</si>
  <si>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</si>
  <si>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</si>
  <si>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</si>
  <si>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</si>
  <si>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</si>
  <si>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</si>
  <si>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</si>
  <si>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</si>
  <si>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</si>
  <si>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</si>
  <si>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</si>
  <si>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</si>
  <si>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</si>
  <si>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</si>
  <si>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</si>
  <si>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</si>
  <si>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</si>
  <si>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</si>
  <si>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</si>
  <si>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</si>
  <si>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</si>
  <si>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</si>
  <si>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</si>
  <si>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</si>
  <si>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</si>
  <si>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</si>
  <si>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</si>
  <si>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</si>
  <si>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</si>
  <si>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</si>
  <si>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</si>
  <si>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</si>
  <si>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</si>
  <si>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</si>
  <si>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</si>
  <si>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</si>
  <si>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</si>
  <si>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</si>
  <si>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</si>
  <si>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</si>
  <si>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</si>
  <si>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</si>
  <si>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</si>
  <si>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</si>
  <si>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</si>
  <si>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</si>
  <si>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</si>
  <si>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</si>
  <si>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</si>
  <si>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</si>
  <si>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</si>
  <si>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</si>
  <si>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</si>
  <si>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</si>
  <si>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</si>
  <si>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</si>
  <si>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</si>
  <si>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</si>
  <si>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</si>
  <si>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</si>
  <si>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</si>
  <si>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</si>
  <si>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</si>
  <si>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</si>
  <si>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</si>
  <si>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</si>
  <si>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</si>
  <si>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</si>
  <si>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</si>
  <si>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</si>
  <si>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</si>
  <si>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</si>
  <si>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</si>
  <si>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</si>
  <si>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</si>
  <si>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</si>
  <si>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</si>
  <si>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</si>
  <si>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</si>
  <si>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</si>
  <si>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</si>
  <si>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</si>
  <si>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</si>
  <si>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</si>
  <si>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</si>
  <si>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</si>
  <si>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</si>
  <si>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</si>
  <si>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</si>
  <si>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</si>
  <si>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</si>
  <si>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</si>
  <si>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</si>
  <si>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</si>
  <si>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</si>
  <si>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</si>
  <si>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</si>
  <si>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</si>
  <si>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</si>
  <si>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</si>
  <si>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</si>
  <si>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</si>
  <si>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</si>
  <si>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</si>
  <si>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</si>
  <si>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</si>
  <si>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</si>
  <si>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</si>
  <si>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</si>
  <si>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</si>
  <si>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</si>
  <si>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</si>
  <si>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</si>
  <si>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</si>
  <si>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</si>
  <si>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</si>
  <si>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</si>
  <si>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</si>
  <si>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</si>
  <si>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</si>
  <si>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</si>
  <si>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</si>
  <si>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</si>
  <si>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</si>
  <si>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</si>
  <si>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</si>
  <si>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</si>
  <si>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</si>
  <si>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</si>
  <si>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</si>
  <si>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</si>
  <si>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</si>
  <si>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</si>
  <si>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</si>
  <si>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</si>
  <si>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</si>
  <si>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</si>
  <si>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</si>
  <si>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</si>
  <si>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</si>
  <si>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</si>
  <si>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</si>
  <si>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</si>
  <si>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</si>
  <si>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</si>
  <si>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</si>
  <si>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</si>
  <si>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</si>
  <si>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</si>
  <si>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</si>
  <si>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</si>
  <si>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</si>
  <si>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</si>
  <si>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</si>
  <si>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</si>
  <si>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</si>
  <si>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</si>
  <si>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</si>
  <si>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</si>
  <si>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</si>
  <si>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</si>
  <si>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</si>
  <si>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</si>
  <si>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</si>
  <si>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</si>
  <si>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</si>
  <si>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</si>
  <si>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</si>
  <si>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</si>
  <si>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</si>
  <si>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</si>
  <si>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</si>
  <si>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</si>
  <si>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</si>
  <si>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</si>
  <si>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</si>
  <si>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</si>
  <si>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</si>
  <si>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</si>
  <si>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</si>
  <si>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</si>
  <si>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</si>
  <si>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</si>
  <si>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</si>
  <si>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</si>
  <si>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</si>
  <si>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</si>
  <si>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</si>
  <si>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</si>
  <si>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</si>
  <si>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</si>
  <si>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</si>
  <si>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</si>
  <si>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</si>
  <si>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</si>
  <si>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</si>
  <si>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</si>
  <si>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</si>
  <si>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</si>
  <si>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</si>
  <si>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</si>
  <si>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</si>
  <si>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</si>
  <si>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</si>
  <si>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</si>
  <si>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</si>
  <si>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</si>
  <si>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</si>
  <si>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</si>
  <si>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</si>
  <si>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</si>
  <si>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</si>
  <si>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</si>
  <si>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</si>
  <si>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</si>
  <si>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</si>
  <si>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</si>
  <si>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</si>
  <si>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</si>
  <si>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</si>
  <si>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</si>
  <si>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</si>
  <si>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</si>
  <si>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</si>
  <si>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</si>
  <si>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</si>
  <si>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</si>
  <si>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</si>
  <si>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</si>
  <si>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</si>
  <si>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</si>
  <si>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</si>
  <si>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</si>
  <si>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</si>
  <si>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</si>
  <si>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</si>
  <si>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</si>
  <si>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</si>
  <si>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</si>
  <si>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</si>
  <si>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</si>
  <si>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</si>
  <si>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</si>
  <si>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</si>
  <si>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</si>
  <si>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</si>
  <si>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</si>
  <si>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</si>
  <si>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</si>
  <si>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</si>
  <si>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</si>
  <si>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</si>
  <si>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</si>
  <si>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</si>
  <si>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</si>
  <si>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</si>
  <si>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</si>
  <si>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</si>
  <si>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</si>
  <si>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</si>
  <si>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</si>
  <si>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</si>
  <si>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</si>
  <si>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</si>
  <si>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</si>
  <si>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</si>
  <si>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</si>
  <si>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</si>
  <si>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</si>
  <si>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</si>
  <si>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</si>
  <si>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</si>
  <si>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</si>
  <si>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</si>
  <si>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</si>
  <si>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</si>
  <si>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</si>
  <si>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</si>
  <si>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</si>
  <si>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</si>
  <si>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</si>
  <si>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</si>
  <si>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</si>
  <si>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</si>
  <si>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</si>
  <si>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</si>
  <si>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</si>
  <si>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</si>
  <si>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</si>
  <si>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</si>
  <si>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</si>
  <si>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</si>
  <si>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</si>
  <si>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</si>
  <si>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</si>
  <si>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</si>
  <si>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</si>
  <si>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</si>
  <si>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</si>
  <si>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</si>
  <si>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</si>
  <si>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</si>
  <si>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</si>
  <si>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</si>
  <si>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</si>
  <si>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</si>
  <si>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</si>
  <si>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</si>
  <si>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</si>
  <si>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</si>
  <si>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</si>
  <si>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</si>
  <si>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</si>
  <si>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</si>
  <si>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</si>
  <si>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</si>
  <si>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</si>
  <si>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</si>
  <si>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</si>
  <si>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</si>
  <si>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</si>
  <si>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</si>
  <si>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</si>
  <si>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</si>
  <si>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</si>
  <si>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</si>
  <si>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</si>
  <si>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</si>
  <si>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</si>
  <si>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</si>
  <si>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</si>
  <si>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</si>
  <si>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</si>
  <si>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</si>
  <si>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</si>
  <si>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</si>
  <si>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</si>
  <si>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</si>
  <si>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</si>
  <si>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</si>
  <si>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</si>
  <si>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</si>
  <si>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</si>
  <si>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</si>
  <si>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</si>
  <si>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</si>
  <si>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</si>
  <si>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</si>
  <si>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</si>
  <si>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</si>
  <si>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</si>
  <si>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</si>
  <si>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</si>
  <si>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</si>
  <si>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</si>
  <si>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</si>
  <si>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</si>
  <si>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</si>
  <si>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</si>
  <si>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</si>
  <si>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</si>
  <si>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</si>
  <si>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</si>
  <si>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</si>
  <si>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</si>
  <si>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</si>
  <si>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</si>
  <si>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</si>
  <si>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</si>
  <si>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</si>
  <si>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</si>
  <si>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</si>
  <si>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</si>
  <si>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</si>
  <si>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</si>
  <si>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</si>
  <si>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</si>
  <si>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</si>
  <si>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</si>
  <si>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</si>
  <si>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</si>
  <si>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</si>
  <si>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</si>
  <si>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</si>
  <si>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</si>
  <si>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</si>
  <si>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</si>
  <si>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</si>
  <si>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</si>
  <si>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</si>
  <si>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</si>
  <si>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</si>
  <si>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</si>
  <si>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</si>
  <si>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</si>
  <si>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</si>
  <si>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</si>
  <si>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</si>
  <si>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</si>
  <si>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</si>
  <si>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</si>
  <si>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</si>
  <si>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</si>
  <si>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</si>
  <si>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</si>
  <si>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</si>
  <si>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</si>
  <si>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</si>
  <si>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</si>
  <si>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</si>
  <si>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</si>
  <si>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</si>
  <si>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</si>
  <si>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</si>
  <si>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</si>
  <si>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</si>
  <si>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</si>
  <si>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</si>
  <si>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</si>
  <si>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</si>
  <si>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</si>
  <si>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</si>
  <si>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</si>
  <si>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</si>
  <si>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</si>
  <si>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</si>
  <si>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</si>
  <si>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</si>
  <si>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</si>
  <si>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</si>
  <si>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</si>
  <si>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</si>
  <si>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</si>
  <si>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</si>
  <si>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</si>
  <si>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</si>
  <si>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</si>
  <si>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</si>
  <si>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</si>
  <si>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</si>
  <si>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</si>
  <si>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</si>
  <si>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</si>
  <si>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</si>
  <si>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</si>
  <si>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</si>
  <si>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</si>
  <si>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</si>
  <si>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</si>
  <si>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</si>
  <si>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</si>
  <si>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</si>
  <si>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</si>
  <si>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</si>
  <si>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</si>
  <si>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</si>
  <si>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</si>
  <si>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</si>
  <si>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</si>
  <si>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</si>
  <si>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</si>
  <si>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</si>
  <si>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</si>
  <si>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</si>
  <si>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</si>
  <si>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</si>
  <si>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</si>
  <si>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</si>
  <si>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</si>
  <si>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</si>
  <si>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</si>
  <si>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</si>
  <si>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</si>
  <si>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</si>
  <si>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</si>
  <si>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</si>
  <si>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</si>
  <si>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</si>
  <si>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</si>
  <si>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</si>
  <si>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</si>
  <si>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</si>
  <si>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</si>
  <si>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</si>
  <si>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</si>
  <si>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</si>
  <si>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</si>
  <si>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</si>
  <si>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</si>
  <si>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</si>
  <si>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</si>
  <si>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</si>
  <si>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</si>
  <si>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</si>
  <si>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</si>
  <si>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</si>
  <si>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</si>
  <si>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</si>
  <si>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</si>
  <si>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</si>
  <si>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</si>
  <si>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</si>
  <si>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</si>
  <si>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</si>
  <si>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</si>
  <si>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</si>
  <si>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</si>
  <si>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</si>
  <si>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</si>
  <si>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</si>
  <si>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</si>
  <si>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</si>
  <si>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</si>
  <si>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</si>
  <si>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</si>
  <si>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</si>
  <si>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</si>
  <si>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</si>
  <si>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</si>
  <si>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</si>
  <si>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</si>
  <si>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</si>
  <si>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</si>
  <si>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</si>
  <si>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</si>
  <si>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</si>
  <si>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</si>
  <si>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</si>
  <si>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</si>
  <si>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</si>
  <si>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</si>
  <si>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</si>
  <si>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</si>
  <si>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</si>
  <si>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</si>
  <si>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</si>
  <si>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</si>
  <si>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</si>
  <si>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</si>
  <si>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</si>
  <si>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</si>
  <si>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</si>
  <si>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</si>
  <si>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</si>
  <si>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</si>
  <si>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</si>
  <si>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</si>
  <si>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</si>
  <si>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</si>
  <si>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</si>
  <si>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</si>
  <si>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</si>
  <si>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</si>
  <si>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</si>
  <si>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</si>
  <si>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</si>
  <si>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</si>
  <si>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</si>
  <si>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</si>
  <si>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</si>
  <si>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</si>
  <si>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</si>
  <si>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</si>
  <si>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</si>
  <si>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</si>
  <si>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</si>
  <si>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</si>
  <si>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</si>
  <si>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</si>
  <si>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</si>
  <si>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</si>
  <si>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</si>
  <si>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</si>
  <si>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</si>
  <si>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</si>
  <si>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</si>
  <si>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</si>
  <si>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</si>
  <si>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</si>
  <si>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</si>
  <si>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</si>
  <si>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</si>
  <si>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</si>
  <si>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</si>
  <si>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</si>
  <si>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</si>
  <si>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</si>
  <si>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</si>
  <si>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</si>
  <si>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</si>
  <si>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</si>
  <si>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</si>
  <si>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</si>
  <si>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</si>
  <si>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</si>
  <si>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</si>
  <si>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</si>
  <si>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</si>
  <si>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</si>
  <si>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</si>
  <si>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</si>
  <si>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</si>
  <si>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</si>
  <si>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</si>
  <si>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</si>
  <si>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</si>
  <si>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</si>
  <si>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</si>
  <si>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</si>
  <si>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</si>
  <si>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</si>
  <si>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</si>
  <si>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</si>
  <si>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</si>
  <si>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</si>
  <si>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</si>
  <si>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</si>
  <si>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</si>
  <si>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</si>
  <si>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</si>
  <si>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</si>
  <si>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</si>
  <si>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</si>
  <si>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</si>
  <si>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</si>
  <si>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</si>
  <si>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</si>
  <si>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</si>
  <si>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</si>
  <si>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</si>
  <si>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Dillingen/Saar Netzgesellschaft mbH</t>
  </si>
  <si>
    <t>Feldstraße 40</t>
  </si>
  <si>
    <t>Dillingen/Saar</t>
  </si>
  <si>
    <t>Voltaris GmbH</t>
  </si>
  <si>
    <t>edm-gas@voltaris.de</t>
  </si>
  <si>
    <t>0 68 61 / 7 99 - 34 84</t>
  </si>
  <si>
    <t>THE0NKH700886000</t>
  </si>
  <si>
    <t>DTN</t>
  </si>
  <si>
    <t>DE_HEF04</t>
  </si>
  <si>
    <t>DE_GKO04</t>
  </si>
  <si>
    <t>DE_GMK04</t>
  </si>
  <si>
    <t>DE_GPD04</t>
  </si>
  <si>
    <t>DE_GHA04</t>
  </si>
  <si>
    <t>DE_GBH04</t>
  </si>
  <si>
    <t>DE_GBA04</t>
  </si>
  <si>
    <t>DE_GBD04</t>
  </si>
  <si>
    <t>DE_GGA04</t>
  </si>
  <si>
    <t>DE_GGB04</t>
  </si>
  <si>
    <t>DE_GMF04</t>
  </si>
  <si>
    <t>DE_GHD04</t>
  </si>
  <si>
    <t>DE_GWA04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</si>
</sst>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4" t="s">
        <v>651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33" sqref="D33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9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45078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656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5">
        <v>9870088600002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657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66763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658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659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660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661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tr">
        <f>IF(D27&lt;&gt;C28,VLOOKUP(D27,$C$29:$D$48,2,FALSE),C28)</f>
        <v>Dillingen/Saar</v>
      </c>
      <c r="E28" s="26"/>
    </row>
    <row r="29" spans="2:15">
      <c r="C29" s="16" t="s">
        <v>393</v>
      </c>
      <c r="D29" s="32" t="s">
        <v>658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31:D48">
    <cfRule type="expression" dxfId="67" priority="4">
      <formula>IF(CELL("Zeile",D31)&lt;$D$25+CELL("Zeile",$D$29),1,0)</formula>
    </cfRule>
  </conditionalFormatting>
  <conditionalFormatting sqref="D31:D48">
    <cfRule type="expression" dxfId="66" priority="3">
      <formula>IF(CELL(D31)&lt;$D$27+27,1,0)</formula>
    </cfRule>
  </conditionalFormatting>
  <conditionalFormatting sqref="D29:D30">
    <cfRule type="expression" dxfId="65" priority="2">
      <formula>IF(CELL("Zeile",D29)&lt;$D$25+CELL("Zeile",$D$29),1,0)</formula>
    </cfRule>
  </conditionalFormatting>
  <conditionalFormatting sqref="D30">
    <cfRule type="expression" dxfId="6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E44" sqref="E44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Stadtwerke Dillingen/Saar Netzgesellschaft mbH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Dillingen/Saar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44">
        <f>Netzbetreiber!$D$11</f>
        <v>9870088600002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44470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7" t="s">
        <v>615</v>
      </c>
      <c r="I11" s="227" t="s">
        <v>616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652</v>
      </c>
      <c r="D13" s="29" t="s">
        <v>662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3"/>
      <c r="I14" s="223"/>
      <c r="J14" s="223"/>
      <c r="K14" s="223"/>
      <c r="L14" s="224"/>
    </row>
    <row r="15" spans="2:15" ht="15" customHeight="1">
      <c r="B15" s="5" t="s">
        <v>83</v>
      </c>
      <c r="C15" s="20" t="s">
        <v>366</v>
      </c>
      <c r="D15" s="34" t="s">
        <v>257</v>
      </c>
      <c r="H15" s="225" t="s">
        <v>257</v>
      </c>
      <c r="I15" s="225" t="s">
        <v>135</v>
      </c>
      <c r="J15" s="223"/>
      <c r="K15" s="223"/>
      <c r="L15" s="224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6" t="s">
        <v>574</v>
      </c>
      <c r="I16" s="226" t="s">
        <v>486</v>
      </c>
      <c r="J16" s="223"/>
      <c r="K16" s="223"/>
      <c r="L16" s="224"/>
    </row>
    <row r="17" spans="2:16" ht="15" customHeight="1">
      <c r="B17" s="16"/>
      <c r="C17" t="str">
        <f>HLOOKUP($D$15,$H$15:$I$17,3,0)</f>
        <v>=&gt; Zeitreihentyp SLPsyn</v>
      </c>
      <c r="D17" s="11"/>
      <c r="H17" s="226" t="s">
        <v>487</v>
      </c>
      <c r="I17" s="226" t="s">
        <v>488</v>
      </c>
      <c r="J17" s="223"/>
      <c r="K17" s="223"/>
      <c r="L17" s="224"/>
    </row>
    <row r="18" spans="2:16" ht="15" customHeight="1">
      <c r="B18" s="16"/>
      <c r="D18" s="11"/>
      <c r="H18" s="226"/>
      <c r="I18" s="226"/>
      <c r="J18" s="223"/>
      <c r="K18" s="223"/>
      <c r="L18" s="224"/>
    </row>
    <row r="19" spans="2:16" ht="15" customHeight="1">
      <c r="B19" s="5" t="s">
        <v>84</v>
      </c>
      <c r="C19" t="s">
        <v>612</v>
      </c>
      <c r="D19" s="34" t="s">
        <v>608</v>
      </c>
      <c r="H19" s="223" t="s">
        <v>608</v>
      </c>
      <c r="I19" s="223" t="s">
        <v>609</v>
      </c>
      <c r="J19" s="223"/>
      <c r="K19"/>
      <c r="L19" s="224"/>
    </row>
    <row r="20" spans="2:16" ht="15" customHeight="1">
      <c r="B20" s="5"/>
      <c r="C20" t="str">
        <f>HLOOKUP(D19,H19:I20,2,0)</f>
        <v>nach TU-München Verfahren</v>
      </c>
      <c r="D20" s="34" t="s">
        <v>610</v>
      </c>
      <c r="H20" s="223" t="s">
        <v>611</v>
      </c>
      <c r="I20" t="s">
        <v>607</v>
      </c>
      <c r="J20"/>
      <c r="K20"/>
      <c r="L20" s="224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3" t="s">
        <v>610</v>
      </c>
      <c r="I21" s="223" t="s">
        <v>617</v>
      </c>
      <c r="J21"/>
      <c r="K21"/>
      <c r="L21" s="226" t="s">
        <v>618</v>
      </c>
      <c r="M21" s="226" t="s">
        <v>620</v>
      </c>
      <c r="N21" s="226" t="s">
        <v>619</v>
      </c>
      <c r="O21"/>
      <c r="P21" s="224"/>
    </row>
    <row r="22" spans="2:16" ht="15" customHeight="1">
      <c r="B22" s="16"/>
      <c r="C22" s="2"/>
      <c r="H22" s="223"/>
      <c r="I22" s="223"/>
      <c r="J22" s="223"/>
      <c r="K22" s="223"/>
      <c r="L22" s="224"/>
    </row>
    <row r="23" spans="2:16" ht="15" customHeight="1">
      <c r="B23" s="5" t="s">
        <v>85</v>
      </c>
      <c r="C23" s="4" t="s">
        <v>577</v>
      </c>
      <c r="D23" s="29" t="s">
        <v>136</v>
      </c>
      <c r="H23" s="225" t="s">
        <v>134</v>
      </c>
      <c r="I23" s="225" t="s">
        <v>136</v>
      </c>
      <c r="J23" s="223"/>
      <c r="K23" s="223"/>
      <c r="L23" s="224"/>
    </row>
    <row r="24" spans="2:16" ht="15" customHeight="1">
      <c r="B24" s="5"/>
      <c r="C24" s="4" t="s">
        <v>621</v>
      </c>
      <c r="D24" s="29" t="s">
        <v>622</v>
      </c>
      <c r="H24" s="255" t="s">
        <v>622</v>
      </c>
      <c r="I24" s="225" t="s">
        <v>623</v>
      </c>
      <c r="J24" s="225" t="s">
        <v>624</v>
      </c>
      <c r="K24" s="223"/>
      <c r="L24" s="224"/>
    </row>
    <row r="25" spans="2:16" ht="15" customHeight="1">
      <c r="B25" s="16"/>
      <c r="C25" t="str">
        <f>HLOOKUP(D24,H24:J25,2,0)</f>
        <v>=&gt; Q(Allokation)  =  Q(Synth.);    F(kor) = 1</v>
      </c>
      <c r="D25" s="256">
        <v>1</v>
      </c>
      <c r="H25" s="226" t="s">
        <v>625</v>
      </c>
      <c r="I25" s="226" t="s">
        <v>626</v>
      </c>
      <c r="J25" s="226" t="s">
        <v>627</v>
      </c>
      <c r="K25" s="223"/>
      <c r="L25" s="224"/>
    </row>
    <row r="26" spans="2:16" ht="15" customHeight="1">
      <c r="B26" s="16"/>
      <c r="C26" t="str">
        <f>HLOOKUP(D24,H24:J26,3,0)</f>
        <v xml:space="preserve"> </v>
      </c>
      <c r="D26" s="27"/>
      <c r="H26" s="226" t="s">
        <v>628</v>
      </c>
      <c r="I26" s="226" t="s">
        <v>629</v>
      </c>
      <c r="J26" s="226" t="s">
        <v>630</v>
      </c>
      <c r="K26" s="223"/>
      <c r="L26" s="224"/>
    </row>
    <row r="27" spans="2:16" ht="15" customHeight="1">
      <c r="B27" s="16"/>
      <c r="C27" s="2"/>
      <c r="H27" s="223"/>
      <c r="I27" s="223"/>
      <c r="J27" s="223"/>
      <c r="K27" s="223"/>
      <c r="L27" s="224"/>
    </row>
    <row r="28" spans="2:16" ht="15" customHeight="1">
      <c r="B28" s="5" t="s">
        <v>368</v>
      </c>
      <c r="C28" s="4" t="s">
        <v>576</v>
      </c>
      <c r="D28" s="29" t="s">
        <v>136</v>
      </c>
      <c r="H28" s="225" t="s">
        <v>134</v>
      </c>
      <c r="I28" s="225" t="s">
        <v>136</v>
      </c>
      <c r="J28" s="223"/>
      <c r="K28" s="223"/>
      <c r="L28" s="224"/>
    </row>
    <row r="29" spans="2:16" ht="15" customHeight="1">
      <c r="B29" s="16"/>
      <c r="C29" t="str">
        <f>HLOOKUP(D28,$H$28:$I$29,2,0)</f>
        <v>=&gt; Q(Allokation)  =  Q(D-2);  F(opt) = 1</v>
      </c>
      <c r="H29" s="226" t="s">
        <v>631</v>
      </c>
      <c r="I29" s="226" t="s">
        <v>632</v>
      </c>
      <c r="J29" s="223"/>
      <c r="K29" s="223"/>
      <c r="L29" s="224"/>
    </row>
    <row r="30" spans="2:16" ht="15" customHeight="1">
      <c r="B30" s="16"/>
      <c r="C30" t="str">
        <f>HLOOKUP(D28,$H$28:$I$30,3,0)</f>
        <v xml:space="preserve"> </v>
      </c>
      <c r="H30" s="226" t="s">
        <v>633</v>
      </c>
      <c r="I30" s="223" t="s">
        <v>628</v>
      </c>
      <c r="J30" s="223"/>
      <c r="K30" s="223"/>
      <c r="L30" s="224"/>
    </row>
    <row r="31" spans="2:16" ht="15" customHeight="1">
      <c r="B31" s="16"/>
      <c r="C31" s="2"/>
      <c r="H31" s="223"/>
      <c r="I31" s="223"/>
      <c r="J31" s="223"/>
      <c r="K31" s="223"/>
      <c r="L31" s="224"/>
    </row>
    <row r="32" spans="2:16" ht="15" customHeight="1">
      <c r="B32" s="5" t="s">
        <v>491</v>
      </c>
      <c r="C32" s="2" t="s">
        <v>493</v>
      </c>
      <c r="D32" s="220">
        <v>15</v>
      </c>
      <c r="H32" s="223"/>
      <c r="I32" s="223"/>
      <c r="J32" s="223"/>
      <c r="K32" s="223"/>
      <c r="L32" s="224"/>
    </row>
    <row r="33" spans="2:22" ht="15" customHeight="1">
      <c r="B33" s="16"/>
      <c r="C33" s="2"/>
      <c r="H33" s="223"/>
      <c r="I33" s="223"/>
      <c r="J33" s="223"/>
      <c r="K33" s="223"/>
      <c r="L33" s="224"/>
    </row>
    <row r="34" spans="2:22" ht="15" customHeight="1">
      <c r="B34" s="5" t="s">
        <v>548</v>
      </c>
      <c r="C34" s="3" t="s">
        <v>363</v>
      </c>
      <c r="D34" s="22">
        <v>1500000</v>
      </c>
      <c r="E34" t="s">
        <v>506</v>
      </c>
      <c r="I34" s="223"/>
      <c r="J34" s="223"/>
      <c r="K34" s="223"/>
      <c r="L34" s="223"/>
      <c r="M34" s="224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549</v>
      </c>
      <c r="C37" s="3" t="s">
        <v>364</v>
      </c>
      <c r="D37" s="24">
        <v>500</v>
      </c>
      <c r="E37" t="s">
        <v>540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40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2" t="s">
        <v>658</v>
      </c>
    </row>
    <row r="46" spans="2:22" ht="18" customHeight="1">
      <c r="C46" s="16" t="s">
        <v>586</v>
      </c>
      <c r="D46" s="32"/>
    </row>
    <row r="47" spans="2:22" ht="18" customHeight="1">
      <c r="C47" s="16" t="s">
        <v>587</v>
      </c>
      <c r="D47" s="32"/>
    </row>
    <row r="48" spans="2:22" ht="18" customHeight="1">
      <c r="C48" s="16" t="s">
        <v>588</v>
      </c>
      <c r="D48" s="32"/>
    </row>
    <row r="49" spans="3:4" ht="18" customHeight="1">
      <c r="C49" s="16" t="s">
        <v>589</v>
      </c>
      <c r="D49" s="32"/>
    </row>
    <row r="50" spans="3:4" ht="18" customHeight="1">
      <c r="C50" s="16" t="s">
        <v>590</v>
      </c>
      <c r="D50" s="32"/>
    </row>
    <row r="51" spans="3:4" ht="18" customHeight="1">
      <c r="C51" s="16" t="s">
        <v>591</v>
      </c>
      <c r="D51" s="32"/>
    </row>
    <row r="52" spans="3:4" ht="18" customHeight="1">
      <c r="C52" s="16" t="s">
        <v>592</v>
      </c>
      <c r="D52" s="32"/>
    </row>
    <row r="53" spans="3:4" ht="18" customHeight="1">
      <c r="C53" s="16" t="s">
        <v>593</v>
      </c>
      <c r="D53" s="32"/>
    </row>
    <row r="54" spans="3:4" ht="18" customHeight="1">
      <c r="C54" s="16" t="s">
        <v>594</v>
      </c>
      <c r="D54" s="32"/>
    </row>
    <row r="55" spans="3:4" ht="18" customHeight="1">
      <c r="C55" s="16" t="s">
        <v>595</v>
      </c>
      <c r="D55" s="32"/>
    </row>
    <row r="56" spans="3:4" ht="18" customHeight="1">
      <c r="C56" s="16" t="s">
        <v>596</v>
      </c>
      <c r="D56" s="32"/>
    </row>
    <row r="57" spans="3:4" ht="18" customHeight="1">
      <c r="C57" s="16" t="s">
        <v>597</v>
      </c>
      <c r="D57" s="32"/>
    </row>
    <row r="58" spans="3:4" ht="18" customHeight="1">
      <c r="C58" s="16" t="s">
        <v>598</v>
      </c>
      <c r="D58" s="32"/>
    </row>
    <row r="59" spans="3:4" ht="18" customHeight="1">
      <c r="C59" s="16" t="s">
        <v>599</v>
      </c>
      <c r="D59" s="32"/>
    </row>
  </sheetData>
  <conditionalFormatting sqref="D13">
    <cfRule type="expression" dxfId="63" priority="21">
      <formula>IF(#REF!="Gaspool",1,0)</formula>
    </cfRule>
  </conditionalFormatting>
  <conditionalFormatting sqref="D46:D59">
    <cfRule type="expression" dxfId="62" priority="17">
      <formula>IF(CELL("Zeile",D46)&lt;$D$43+CELL("Zeile",$D$45),1,0)</formula>
    </cfRule>
  </conditionalFormatting>
  <conditionalFormatting sqref="D46:D59">
    <cfRule type="expression" dxfId="61" priority="16">
      <formula>IF(CELL(D46)&lt;$D$33+27,1,0)</formula>
    </cfRule>
  </conditionalFormatting>
  <conditionalFormatting sqref="D20">
    <cfRule type="expression" dxfId="60" priority="15">
      <formula>IF($D$19=$H$19,1,0)</formula>
    </cfRule>
  </conditionalFormatting>
  <conditionalFormatting sqref="D28">
    <cfRule type="expression" dxfId="59" priority="4">
      <formula>IF($D$15="synthetisch",1,0)</formula>
    </cfRule>
  </conditionalFormatting>
  <conditionalFormatting sqref="D25">
    <cfRule type="expression" dxfId="58" priority="2">
      <formula>IF(AND($D$24=$I$24,$D$23=$H$23),1,0)</formula>
    </cfRule>
  </conditionalFormatting>
  <conditionalFormatting sqref="D23:D25">
    <cfRule type="expression" dxfId="57" priority="5">
      <formula>IF($D$15="analytisch",1,0)</formula>
    </cfRule>
  </conditionalFormatting>
  <conditionalFormatting sqref="D24">
    <cfRule type="expression" dxfId="56" priority="3">
      <formula>IF($D$23="nein",1)</formula>
    </cfRule>
  </conditionalFormatting>
  <conditionalFormatting sqref="D45">
    <cfRule type="expression" dxfId="55" priority="1">
      <formula>IF(CELL("Zeile",D45)&lt;$D$46+CELL("Zeile",$D$48),1,0)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19" xr:uid="{00000000-0002-0000-0200-000002000000}">
      <formula1>$H$19:$I$19</formula1>
    </dataValidation>
    <dataValidation type="list" allowBlank="1" showInputMessage="1" showErrorMessage="1" sqref="D20" xr:uid="{00000000-0002-0000-0200-000003000000}">
      <formula1>$H$21:$I$21</formula1>
    </dataValidation>
    <dataValidation type="list" allowBlank="1" showInputMessage="1" showErrorMessage="1" sqref="D11" xr:uid="{00000000-0002-0000-0200-000004000000}">
      <formula1>$H$11:$I$11</formula1>
    </dataValidation>
    <dataValidation type="list" allowBlank="1" showInputMessage="1" showErrorMessage="1" sqref="D24" xr:uid="{00000000-0002-0000-0200-000005000000}">
      <formula1>$H$24:$J$24</formula1>
    </dataValidation>
    <dataValidation type="list" allowBlank="1" showInputMessage="1" showErrorMessage="1" sqref="D23" xr:uid="{00000000-0002-0000-0200-000006000000}">
      <formula1>$H$23:$I$23</formula1>
    </dataValidation>
    <dataValidation type="list" allowBlank="1" showInputMessage="1" showErrorMessage="1" sqref="D28" xr:uid="{00000000-0002-0000-0200-000007000000}">
      <formula1>$H$28:$I$28</formula1>
    </dataValidation>
    <dataValidation type="list" allowBlank="1" showInputMessage="1" showErrorMessage="1" sqref="D43" xr:uid="{00000000-0002-0000-0200-000008000000}">
      <formula1>$H$46:$V$46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29" sqref="F29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">
        <v>656</v>
      </c>
    </row>
    <row r="5" spans="1:56">
      <c r="C5" s="40" t="s">
        <v>441</v>
      </c>
      <c r="D5" s="41"/>
      <c r="E5" s="42" t="s">
        <v>658</v>
      </c>
    </row>
    <row r="6" spans="1:56">
      <c r="C6" s="40" t="s">
        <v>485</v>
      </c>
      <c r="D6" s="41"/>
      <c r="E6" s="286">
        <v>9870088600002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521</v>
      </c>
      <c r="F9" s="127">
        <f>'SLP-Verfahren'!D43</f>
        <v>1</v>
      </c>
      <c r="H9" s="141" t="s">
        <v>600</v>
      </c>
    </row>
    <row r="10" spans="1:56">
      <c r="C10" s="40" t="s">
        <v>584</v>
      </c>
      <c r="F10" s="247">
        <v>1</v>
      </c>
      <c r="G10" s="41"/>
      <c r="H10" s="141" t="s">
        <v>601</v>
      </c>
    </row>
    <row r="11" spans="1:56">
      <c r="C11" s="40" t="s">
        <v>602</v>
      </c>
      <c r="F11" s="245" t="str">
        <f>INDEX('SLP-Verfahren'!D45:D59,'SLP-Temp-Gebiet #01'!F10)</f>
        <v>Dillingen/Saar</v>
      </c>
      <c r="G11" s="248"/>
      <c r="H11" s="68"/>
    </row>
    <row r="12" spans="1:56"/>
    <row r="13" spans="1:56" ht="18" customHeight="1">
      <c r="C13" s="287" t="s">
        <v>583</v>
      </c>
      <c r="D13" s="287"/>
      <c r="E13" s="287"/>
      <c r="F13" s="16" t="s">
        <v>547</v>
      </c>
      <c r="G13" t="s">
        <v>545</v>
      </c>
      <c r="H13" s="217" t="s">
        <v>562</v>
      </c>
      <c r="I13" s="41"/>
    </row>
    <row r="14" spans="1:56" ht="19.5" customHeight="1">
      <c r="C14" s="288" t="s">
        <v>445</v>
      </c>
      <c r="D14" s="288"/>
      <c r="E14" s="5" t="s">
        <v>446</v>
      </c>
      <c r="F14" s="218" t="s">
        <v>85</v>
      </c>
      <c r="G14" s="219" t="s">
        <v>571</v>
      </c>
      <c r="H14" s="36">
        <v>0</v>
      </c>
      <c r="I14" s="41"/>
      <c r="O14" s="142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88" t="s">
        <v>385</v>
      </c>
      <c r="D15" s="288"/>
      <c r="E15" s="5" t="s">
        <v>446</v>
      </c>
      <c r="F15" s="218" t="s">
        <v>71</v>
      </c>
      <c r="G15" s="219" t="s">
        <v>565</v>
      </c>
      <c r="H15" s="36">
        <v>0</v>
      </c>
      <c r="I15" s="41"/>
      <c r="O15" s="133" t="s">
        <v>663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548</v>
      </c>
      <c r="AJ15" s="216" t="s">
        <v>549</v>
      </c>
      <c r="AK15" s="216" t="s">
        <v>550</v>
      </c>
      <c r="AL15" s="216" t="s">
        <v>551</v>
      </c>
      <c r="AM15" s="216" t="s">
        <v>552</v>
      </c>
      <c r="AN15" s="216" t="s">
        <v>553</v>
      </c>
      <c r="AO15" s="216" t="s">
        <v>554</v>
      </c>
      <c r="AP15" s="216" t="s">
        <v>555</v>
      </c>
      <c r="AQ15" s="216" t="s">
        <v>556</v>
      </c>
      <c r="AR15" s="216" t="s">
        <v>557</v>
      </c>
      <c r="AS15" s="216" t="s">
        <v>558</v>
      </c>
      <c r="AT15" s="216" t="s">
        <v>559</v>
      </c>
      <c r="AU15" s="216" t="s">
        <v>560</v>
      </c>
      <c r="AV15" s="216" t="s">
        <v>561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1"/>
      <c r="R16" s="169"/>
      <c r="S16" s="169"/>
    </row>
    <row r="17" spans="2:21" ht="19.5" customHeight="1">
      <c r="B17" s="144" t="s">
        <v>516</v>
      </c>
      <c r="D17" s="143"/>
      <c r="R17" s="169"/>
      <c r="S17" s="169"/>
    </row>
    <row r="18" spans="2:21">
      <c r="C18" s="40" t="s">
        <v>522</v>
      </c>
      <c r="F18" s="34">
        <v>1</v>
      </c>
      <c r="I18" s="141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5" t="s">
        <v>517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1">
      <c r="B21" s="16"/>
      <c r="C21" s="149" t="s">
        <v>524</v>
      </c>
      <c r="D21" s="126" t="s">
        <v>515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>
      <c r="B22" s="16"/>
      <c r="C22" s="149" t="s">
        <v>536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1">
      <c r="B23" s="16"/>
      <c r="C23" s="149" t="s">
        <v>137</v>
      </c>
      <c r="D23" s="152"/>
      <c r="E23" s="129" t="s">
        <v>663</v>
      </c>
      <c r="F23" s="129" t="s">
        <v>663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9" t="s">
        <v>139</v>
      </c>
      <c r="S23" s="49" t="s">
        <v>502</v>
      </c>
      <c r="T23" s="246" t="str">
        <f>O15</f>
        <v>DTN</v>
      </c>
    </row>
    <row r="24" spans="2:21">
      <c r="B24" s="16"/>
      <c r="C24" s="149" t="s">
        <v>519</v>
      </c>
      <c r="D24" s="152"/>
      <c r="E24" s="129" t="s">
        <v>658</v>
      </c>
      <c r="F24" s="129" t="s">
        <v>581</v>
      </c>
      <c r="G24" s="129"/>
      <c r="H24" s="129"/>
      <c r="I24" s="129"/>
      <c r="J24" s="129"/>
      <c r="K24" s="129"/>
      <c r="L24" s="129"/>
      <c r="M24" s="129"/>
      <c r="N24" s="129"/>
      <c r="O24" s="150" t="s">
        <v>520</v>
      </c>
      <c r="Q24" s="170"/>
    </row>
    <row r="25" spans="2:21">
      <c r="B25" s="16"/>
      <c r="C25" s="149" t="s">
        <v>514</v>
      </c>
      <c r="D25" s="152"/>
      <c r="E25" s="129">
        <v>10703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9" t="s">
        <v>138</v>
      </c>
    </row>
    <row r="26" spans="2:21">
      <c r="B26" s="16"/>
      <c r="C26" s="149" t="s">
        <v>141</v>
      </c>
      <c r="D26" s="152"/>
      <c r="E26" s="129" t="s">
        <v>503</v>
      </c>
      <c r="F26" s="129" t="s">
        <v>503</v>
      </c>
      <c r="G26" s="129" t="s">
        <v>503</v>
      </c>
      <c r="H26" s="129" t="s">
        <v>503</v>
      </c>
      <c r="I26" s="129" t="s">
        <v>503</v>
      </c>
      <c r="J26" s="129" t="s">
        <v>503</v>
      </c>
      <c r="K26" s="129" t="s">
        <v>503</v>
      </c>
      <c r="L26" s="129" t="s">
        <v>503</v>
      </c>
      <c r="M26" s="129" t="s">
        <v>503</v>
      </c>
      <c r="N26" s="129" t="s">
        <v>503</v>
      </c>
      <c r="O26" s="150" t="s">
        <v>142</v>
      </c>
      <c r="Q26" s="170"/>
      <c r="R26" s="49" t="s">
        <v>503</v>
      </c>
      <c r="S26" s="49" t="s">
        <v>654</v>
      </c>
      <c r="T26" s="49" t="s">
        <v>655</v>
      </c>
      <c r="U26" s="49" t="s">
        <v>504</v>
      </c>
    </row>
    <row r="27" spans="2:21">
      <c r="B27" s="16"/>
      <c r="C27" s="149" t="s">
        <v>653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/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143</v>
      </c>
      <c r="Q27" s="170"/>
      <c r="R27" s="49" t="s">
        <v>503</v>
      </c>
      <c r="S27" s="49" t="s">
        <v>504</v>
      </c>
    </row>
    <row r="28" spans="2:21">
      <c r="B28" s="16"/>
      <c r="C28" s="153"/>
      <c r="Q28" s="170"/>
    </row>
    <row r="29" spans="2:21">
      <c r="C29" s="40" t="s">
        <v>518</v>
      </c>
      <c r="F29" s="34">
        <v>4</v>
      </c>
      <c r="I29" s="141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>
      <c r="B31" s="16"/>
      <c r="C31" s="145" t="s">
        <v>140</v>
      </c>
      <c r="D31" s="146" t="s">
        <v>256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144</v>
      </c>
      <c r="Q31" s="170"/>
    </row>
    <row r="32" spans="2:21">
      <c r="B32" s="16"/>
      <c r="C32" s="149" t="s">
        <v>525</v>
      </c>
      <c r="D32" s="151" t="s">
        <v>255</v>
      </c>
      <c r="E32" s="238">
        <f>1-SUMPRODUCT(F30:N30,F32:N32)</f>
        <v>0.5333</v>
      </c>
      <c r="F32" s="238">
        <f>ROUND(F33/$D$33,4)</f>
        <v>0.26669999999999999</v>
      </c>
      <c r="G32" s="238">
        <f t="shared" ref="G32:N32" si="3">ROUND(G33/$D$33,4)</f>
        <v>0.1333</v>
      </c>
      <c r="H32" s="238">
        <f t="shared" si="3"/>
        <v>6.6699999999999995E-2</v>
      </c>
      <c r="I32" s="238">
        <f t="shared" si="3"/>
        <v>0</v>
      </c>
      <c r="J32" s="238">
        <f t="shared" si="3"/>
        <v>0</v>
      </c>
      <c r="K32" s="238">
        <f t="shared" si="3"/>
        <v>0</v>
      </c>
      <c r="L32" s="238">
        <f t="shared" si="3"/>
        <v>0</v>
      </c>
      <c r="M32" s="238">
        <f t="shared" si="3"/>
        <v>0</v>
      </c>
      <c r="N32" s="238">
        <f t="shared" si="3"/>
        <v>0</v>
      </c>
      <c r="O32" s="150"/>
      <c r="Q32" s="170"/>
    </row>
    <row r="33" spans="2:28">
      <c r="B33" s="16"/>
      <c r="C33" s="149" t="s">
        <v>532</v>
      </c>
      <c r="D33" s="240">
        <f>SUMPRODUCT(E33:N33,E30:N30)</f>
        <v>1.875</v>
      </c>
      <c r="E33" s="239">
        <v>1</v>
      </c>
      <c r="F33" s="239">
        <v>0.5</v>
      </c>
      <c r="G33" s="239">
        <v>0.25</v>
      </c>
      <c r="H33" s="239">
        <v>0.125</v>
      </c>
      <c r="I33" s="128"/>
      <c r="J33" s="128"/>
      <c r="K33" s="128"/>
      <c r="L33" s="128"/>
      <c r="M33" s="128"/>
      <c r="N33" s="128"/>
      <c r="O33" s="150" t="s">
        <v>145</v>
      </c>
      <c r="Q33" s="170"/>
    </row>
    <row r="34" spans="2:28">
      <c r="B34" s="16"/>
      <c r="C34" s="149" t="s">
        <v>359</v>
      </c>
      <c r="D34" s="126" t="s">
        <v>358</v>
      </c>
      <c r="E34" s="129" t="s">
        <v>3</v>
      </c>
      <c r="F34" s="129" t="s">
        <v>357</v>
      </c>
      <c r="G34" s="129" t="s">
        <v>348</v>
      </c>
      <c r="H34" s="129" t="s">
        <v>349</v>
      </c>
      <c r="I34" s="129"/>
      <c r="J34" s="129"/>
      <c r="K34" s="129"/>
      <c r="L34" s="129"/>
      <c r="M34" s="129"/>
      <c r="N34" s="129"/>
      <c r="O34" s="150" t="s">
        <v>142</v>
      </c>
      <c r="Q34" s="170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49" t="s">
        <v>448</v>
      </c>
      <c r="D35" s="126" t="s">
        <v>447</v>
      </c>
      <c r="E35" s="129" t="s">
        <v>511</v>
      </c>
      <c r="F35" s="129" t="s">
        <v>511</v>
      </c>
      <c r="G35" s="129" t="s">
        <v>511</v>
      </c>
      <c r="H35" s="129" t="s">
        <v>511</v>
      </c>
      <c r="I35" s="134"/>
      <c r="J35" s="134"/>
      <c r="K35" s="134"/>
      <c r="L35" s="134"/>
      <c r="M35" s="134"/>
      <c r="N35" s="134"/>
      <c r="O35" s="150" t="s">
        <v>142</v>
      </c>
      <c r="Q35" s="170"/>
      <c r="R35" s="49" t="s">
        <v>511</v>
      </c>
      <c r="S35" s="49" t="s">
        <v>512</v>
      </c>
    </row>
    <row r="36" spans="2:28">
      <c r="B36" s="16"/>
      <c r="C36" s="149" t="s">
        <v>604</v>
      </c>
      <c r="D36" s="126" t="s">
        <v>605</v>
      </c>
      <c r="E36" s="129" t="s">
        <v>603</v>
      </c>
      <c r="F36" s="129" t="s">
        <v>603</v>
      </c>
      <c r="G36" s="129" t="s">
        <v>603</v>
      </c>
      <c r="H36" s="129" t="s">
        <v>603</v>
      </c>
      <c r="I36" s="129" t="s">
        <v>603</v>
      </c>
      <c r="J36" s="129" t="s">
        <v>603</v>
      </c>
      <c r="K36" s="129" t="s">
        <v>603</v>
      </c>
      <c r="L36" s="129" t="s">
        <v>603</v>
      </c>
      <c r="M36" s="129" t="s">
        <v>603</v>
      </c>
      <c r="N36" s="129" t="s">
        <v>603</v>
      </c>
      <c r="O36" s="150" t="s">
        <v>142</v>
      </c>
      <c r="Q36" s="170"/>
      <c r="R36" s="49" t="s">
        <v>603</v>
      </c>
      <c r="S36" s="49" t="s">
        <v>606</v>
      </c>
      <c r="T36" s="41"/>
    </row>
    <row r="37" spans="2:28">
      <c r="B37" s="16"/>
      <c r="C37" s="152" t="s">
        <v>440</v>
      </c>
      <c r="D37" s="98" t="s">
        <v>537</v>
      </c>
      <c r="E37" s="134" t="s">
        <v>449</v>
      </c>
      <c r="F37" s="134" t="s">
        <v>449</v>
      </c>
      <c r="G37" s="134" t="s">
        <v>450</v>
      </c>
      <c r="H37" s="134" t="s">
        <v>450</v>
      </c>
      <c r="I37" s="134"/>
      <c r="J37" s="134"/>
      <c r="K37" s="134"/>
      <c r="L37" s="134"/>
      <c r="M37" s="134"/>
      <c r="N37" s="134"/>
      <c r="O37" s="150" t="s">
        <v>142</v>
      </c>
      <c r="Q37" s="170"/>
      <c r="R37" s="49" t="s">
        <v>450</v>
      </c>
      <c r="S37" s="49" t="s">
        <v>449</v>
      </c>
    </row>
    <row r="38" spans="2:28" ht="15.75" thickBot="1"/>
    <row r="39" spans="2:28">
      <c r="C39" s="155" t="s">
        <v>267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8">
      <c r="C40" s="158" t="s">
        <v>347</v>
      </c>
      <c r="D40" s="159"/>
      <c r="E40" s="159" t="s">
        <v>530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531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58"/>
      <c r="D42" s="159"/>
      <c r="E42" s="159" t="s">
        <v>523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528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 t="s">
        <v>529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58" t="s">
        <v>534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>
      <c r="C47" s="161" t="s">
        <v>535</v>
      </c>
      <c r="D47" s="162" t="s">
        <v>533</v>
      </c>
      <c r="E47" s="243">
        <v>1</v>
      </c>
      <c r="F47" s="243">
        <v>0</v>
      </c>
      <c r="G47" s="243">
        <v>0</v>
      </c>
      <c r="H47" s="243">
        <v>0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>
      <c r="C48" s="161" t="s">
        <v>346</v>
      </c>
      <c r="D48" s="162" t="s">
        <v>533</v>
      </c>
      <c r="E48" s="243">
        <v>1</v>
      </c>
      <c r="F48" s="243">
        <v>0.5</v>
      </c>
      <c r="G48" s="243">
        <v>0.25</v>
      </c>
      <c r="H48" s="243">
        <v>0.125</v>
      </c>
      <c r="I48" s="243">
        <v>0</v>
      </c>
      <c r="J48" s="243" t="s">
        <v>360</v>
      </c>
      <c r="K48" s="159"/>
      <c r="L48" s="159"/>
      <c r="M48" s="159"/>
      <c r="N48" s="159"/>
      <c r="O48" s="160"/>
    </row>
    <row r="49" spans="2:15" ht="15.75" thickBot="1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/>
    <row r="51" spans="2:15" ht="18.75">
      <c r="B51" s="144" t="s">
        <v>578</v>
      </c>
    </row>
    <row r="52" spans="2:15">
      <c r="I52" s="1"/>
    </row>
    <row r="53" spans="2:15">
      <c r="C53" s="40" t="s">
        <v>542</v>
      </c>
      <c r="F53" s="130">
        <f>F18</f>
        <v>1</v>
      </c>
      <c r="I53" s="141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5" t="s">
        <v>517</v>
      </c>
      <c r="D55" s="146" t="s">
        <v>513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144</v>
      </c>
    </row>
    <row r="56" spans="2:15">
      <c r="B56" s="16"/>
      <c r="C56" s="149" t="s">
        <v>524</v>
      </c>
      <c r="D56" s="126" t="s">
        <v>515</v>
      </c>
      <c r="E56" s="238">
        <f>1-SUMPRODUCT(F54:N54,F56:N56)</f>
        <v>1</v>
      </c>
      <c r="F56" s="238">
        <f>ROUND(F57/$D$57,4)</f>
        <v>1</v>
      </c>
      <c r="G56" s="238">
        <f t="shared" ref="G56:N56" si="5">ROUND(G57/$D$57,4)</f>
        <v>0</v>
      </c>
      <c r="H56" s="238">
        <f t="shared" si="5"/>
        <v>0</v>
      </c>
      <c r="I56" s="238">
        <f t="shared" si="5"/>
        <v>0</v>
      </c>
      <c r="J56" s="238">
        <f t="shared" si="5"/>
        <v>0</v>
      </c>
      <c r="K56" s="238">
        <f t="shared" si="5"/>
        <v>0</v>
      </c>
      <c r="L56" s="238">
        <f t="shared" si="5"/>
        <v>0</v>
      </c>
      <c r="M56" s="238">
        <f t="shared" si="5"/>
        <v>0</v>
      </c>
      <c r="N56" s="238">
        <f t="shared" si="5"/>
        <v>0</v>
      </c>
      <c r="O56" s="150"/>
    </row>
    <row r="57" spans="2:15">
      <c r="B57" s="16"/>
      <c r="C57" s="149" t="s">
        <v>536</v>
      </c>
      <c r="D57" s="151">
        <f>SUMPRODUCT(E57:N57,E54:N54)</f>
        <v>1</v>
      </c>
      <c r="E57" s="239">
        <f>E22</f>
        <v>1</v>
      </c>
      <c r="F57" s="239">
        <f t="shared" ref="F57:N57" si="6">F22</f>
        <v>1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  <c r="K57" s="239">
        <f t="shared" si="6"/>
        <v>0</v>
      </c>
      <c r="L57" s="239">
        <f t="shared" si="6"/>
        <v>0</v>
      </c>
      <c r="M57" s="239">
        <f t="shared" si="6"/>
        <v>0</v>
      </c>
      <c r="N57" s="239">
        <f t="shared" si="6"/>
        <v>0</v>
      </c>
      <c r="O57" s="150" t="s">
        <v>145</v>
      </c>
    </row>
    <row r="58" spans="2:15">
      <c r="B58" s="16"/>
      <c r="C58" s="149" t="s">
        <v>137</v>
      </c>
      <c r="D58" s="152"/>
      <c r="E58" s="129" t="str">
        <f>E23</f>
        <v>DTN</v>
      </c>
      <c r="F58" s="129" t="str">
        <f t="shared" ref="F58:N58" si="7">F23</f>
        <v>DTN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142</v>
      </c>
    </row>
    <row r="59" spans="2:15">
      <c r="B59" s="16"/>
      <c r="C59" s="149" t="s">
        <v>519</v>
      </c>
      <c r="D59" s="152"/>
      <c r="E59" s="129" t="str">
        <f>E24</f>
        <v>Dillingen/Saar</v>
      </c>
      <c r="F59" s="129" t="str">
        <f t="shared" ref="F59:N59" si="8">F24</f>
        <v>DEF-St.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520</v>
      </c>
    </row>
    <row r="60" spans="2:15">
      <c r="B60" s="16"/>
      <c r="C60" s="149" t="s">
        <v>514</v>
      </c>
      <c r="D60" s="152"/>
      <c r="E60" s="129">
        <f>E25</f>
        <v>10703</v>
      </c>
      <c r="F60" s="129" t="str">
        <f t="shared" ref="F60:N60" si="9">F25</f>
        <v>xxxxx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143</v>
      </c>
    </row>
    <row r="61" spans="2:15">
      <c r="B61" s="16"/>
      <c r="C61" s="149" t="s">
        <v>141</v>
      </c>
      <c r="D61" s="152"/>
      <c r="E61" s="131" t="str">
        <f>E26</f>
        <v>Temp. (2m)</v>
      </c>
      <c r="F61" s="131" t="str">
        <f t="shared" ref="F61:N61" si="10">F26</f>
        <v>Temp. (2m)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142</v>
      </c>
    </row>
    <row r="62" spans="2:15"/>
    <row r="63" spans="2:15">
      <c r="C63" s="40" t="s">
        <v>518</v>
      </c>
      <c r="F63" s="130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5" t="s">
        <v>140</v>
      </c>
      <c r="D65" s="146" t="s">
        <v>256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144</v>
      </c>
    </row>
    <row r="66" spans="2:15">
      <c r="B66" s="16"/>
      <c r="C66" s="149" t="s">
        <v>525</v>
      </c>
      <c r="D66" s="151" t="s">
        <v>255</v>
      </c>
      <c r="E66" s="238">
        <f>1-SUMPRODUCT(F64:N64,F66:N66)</f>
        <v>0.5333</v>
      </c>
      <c r="F66" s="238">
        <f>ROUND(F67/$D$67,4)</f>
        <v>0.26669999999999999</v>
      </c>
      <c r="G66" s="238">
        <f t="shared" ref="G66:N66" si="12">ROUND(G67/$D$67,4)</f>
        <v>0.1333</v>
      </c>
      <c r="H66" s="238">
        <f t="shared" si="12"/>
        <v>6.6699999999999995E-2</v>
      </c>
      <c r="I66" s="238">
        <f t="shared" si="12"/>
        <v>0</v>
      </c>
      <c r="J66" s="238">
        <f t="shared" si="12"/>
        <v>0</v>
      </c>
      <c r="K66" s="238">
        <f t="shared" si="12"/>
        <v>0</v>
      </c>
      <c r="L66" s="238">
        <f t="shared" si="12"/>
        <v>0</v>
      </c>
      <c r="M66" s="238">
        <f t="shared" si="12"/>
        <v>0</v>
      </c>
      <c r="N66" s="238">
        <f t="shared" si="12"/>
        <v>0</v>
      </c>
      <c r="O66" s="150"/>
    </row>
    <row r="67" spans="2:15">
      <c r="B67" s="16"/>
      <c r="C67" s="149" t="s">
        <v>532</v>
      </c>
      <c r="D67" s="151">
        <f>SUMPRODUCT(E67:N67,E64:N64)</f>
        <v>1.875</v>
      </c>
      <c r="E67" s="244">
        <f>E33</f>
        <v>1</v>
      </c>
      <c r="F67" s="244">
        <f t="shared" ref="F67:N67" si="13">F33</f>
        <v>0.5</v>
      </c>
      <c r="G67" s="244">
        <f t="shared" si="13"/>
        <v>0.25</v>
      </c>
      <c r="H67" s="244">
        <f t="shared" si="13"/>
        <v>0.125</v>
      </c>
      <c r="I67" s="244">
        <f t="shared" si="13"/>
        <v>0</v>
      </c>
      <c r="J67" s="244">
        <f t="shared" si="13"/>
        <v>0</v>
      </c>
      <c r="K67" s="244">
        <f t="shared" si="13"/>
        <v>0</v>
      </c>
      <c r="L67" s="244">
        <f t="shared" si="13"/>
        <v>0</v>
      </c>
      <c r="M67" s="244">
        <f t="shared" si="13"/>
        <v>0</v>
      </c>
      <c r="N67" s="244">
        <f t="shared" si="13"/>
        <v>0</v>
      </c>
      <c r="O67" s="150" t="s">
        <v>145</v>
      </c>
    </row>
    <row r="68" spans="2:15">
      <c r="B68" s="16"/>
      <c r="C68" s="149" t="s">
        <v>359</v>
      </c>
      <c r="D68" s="126" t="s">
        <v>358</v>
      </c>
      <c r="E68" s="129" t="str">
        <f>E34</f>
        <v>D</v>
      </c>
      <c r="F68" s="129" t="str">
        <f t="shared" ref="F68:N68" si="14">F34</f>
        <v>D-1</v>
      </c>
      <c r="G68" s="129" t="str">
        <f t="shared" si="14"/>
        <v>D-2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142</v>
      </c>
    </row>
    <row r="69" spans="2:15">
      <c r="B69" s="16"/>
      <c r="C69" s="149" t="s">
        <v>448</v>
      </c>
      <c r="D69" s="126" t="s">
        <v>447</v>
      </c>
      <c r="E69" s="132" t="s">
        <v>511</v>
      </c>
      <c r="F69" s="132" t="str">
        <f t="shared" ref="F69:N69" si="15">F35</f>
        <v>Gastag</v>
      </c>
      <c r="G69" s="132" t="str">
        <f t="shared" si="15"/>
        <v>Gastag</v>
      </c>
      <c r="H69" s="132" t="str">
        <f t="shared" si="15"/>
        <v>Gastag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142</v>
      </c>
    </row>
    <row r="70" spans="2:15">
      <c r="B70" s="16"/>
      <c r="C70" s="149" t="s">
        <v>604</v>
      </c>
      <c r="D70" s="126" t="s">
        <v>605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142</v>
      </c>
    </row>
    <row r="71" spans="2:15">
      <c r="B71" s="16"/>
      <c r="C71" s="152" t="s">
        <v>440</v>
      </c>
      <c r="D71" s="98" t="s">
        <v>537</v>
      </c>
      <c r="E71" s="135" t="s">
        <v>450</v>
      </c>
      <c r="F71" s="135" t="s">
        <v>450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142</v>
      </c>
    </row>
    <row r="72" spans="2:15"/>
    <row r="73" spans="2:15" ht="15.75" customHeight="1">
      <c r="C73" s="289" t="s">
        <v>579</v>
      </c>
      <c r="D73" s="289"/>
      <c r="E73" s="289"/>
      <c r="F73" s="289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54" priority="28">
      <formula>IF(E$20&lt;=$F$18,1,0)</formula>
    </cfRule>
  </conditionalFormatting>
  <conditionalFormatting sqref="E33:N37">
    <cfRule type="expression" dxfId="53" priority="27">
      <formula>IF(E$31&lt;=$F$29,1,0)</formula>
    </cfRule>
  </conditionalFormatting>
  <conditionalFormatting sqref="E26:N26">
    <cfRule type="expression" dxfId="52" priority="26">
      <formula>IF(E$20&lt;=$F$18,1,0)</formula>
    </cfRule>
  </conditionalFormatting>
  <conditionalFormatting sqref="E26:N26">
    <cfRule type="expression" dxfId="51" priority="25">
      <formula>IF(E$20&lt;=$F$18,1,0)</formula>
    </cfRule>
  </conditionalFormatting>
  <conditionalFormatting sqref="E57:N60">
    <cfRule type="expression" dxfId="50" priority="22">
      <formula>IF(E$55&lt;=$F$53,1,0)</formula>
    </cfRule>
  </conditionalFormatting>
  <conditionalFormatting sqref="E61:N61">
    <cfRule type="expression" dxfId="49" priority="21">
      <formula>IF(E$55&lt;=$F$53,1,0)</formula>
    </cfRule>
  </conditionalFormatting>
  <conditionalFormatting sqref="E67:N69">
    <cfRule type="expression" dxfId="48" priority="15">
      <formula>IF(E$65&lt;=$F$63,1,0)</formula>
    </cfRule>
  </conditionalFormatting>
  <conditionalFormatting sqref="E66:N69 E71:N71">
    <cfRule type="expression" dxfId="47" priority="13">
      <formula>IF(E$65&gt;$F$63,1,0)</formula>
    </cfRule>
  </conditionalFormatting>
  <conditionalFormatting sqref="E57:N61">
    <cfRule type="expression" dxfId="46" priority="12">
      <formula>IF(E$55&gt;$F$53,1,0)</formula>
    </cfRule>
  </conditionalFormatting>
  <conditionalFormatting sqref="E21:N26">
    <cfRule type="expression" dxfId="45" priority="11">
      <formula>IF(E$20&gt;$F$18,1,0)</formula>
    </cfRule>
  </conditionalFormatting>
  <conditionalFormatting sqref="E33:N37">
    <cfRule type="expression" dxfId="44" priority="10">
      <formula>IF(E$31&gt;$F$29,1,0)</formula>
    </cfRule>
  </conditionalFormatting>
  <conditionalFormatting sqref="H11 H8:H9">
    <cfRule type="expression" dxfId="43" priority="9">
      <formula>IF($F$9=1,1,0)</formula>
    </cfRule>
  </conditionalFormatting>
  <conditionalFormatting sqref="E56:N56">
    <cfRule type="expression" dxfId="42" priority="8">
      <formula>IF(E$55&gt;$F$53,1,0)</formula>
    </cfRule>
  </conditionalFormatting>
  <conditionalFormatting sqref="E32:N32">
    <cfRule type="expression" dxfId="41" priority="7">
      <formula>IF(E$31&gt;$F$29,1,0)</formula>
    </cfRule>
  </conditionalFormatting>
  <conditionalFormatting sqref="E71:N71">
    <cfRule type="expression" dxfId="40" priority="6">
      <formula>IF(E$65&lt;=$F$63,1,0)</formula>
    </cfRule>
  </conditionalFormatting>
  <conditionalFormatting sqref="H10">
    <cfRule type="expression" dxfId="39" priority="5">
      <formula>IF($F$9=1,1,0)</formula>
    </cfRule>
  </conditionalFormatting>
  <conditionalFormatting sqref="E70:N70">
    <cfRule type="expression" dxfId="38" priority="2">
      <formula>IF(E$65&lt;=$F$63,1,0)</formula>
    </cfRule>
  </conditionalFormatting>
  <conditionalFormatting sqref="E70:N70">
    <cfRule type="expression" dxfId="37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8 E37:N37 F25:N25 E57:N60 E22:F22 I22:N22 F53 F63 G24:N24 G71:N71 E33:N34 E70:N70 F35:N35 F69:N6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Dillingen/Saar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521</v>
      </c>
      <c r="F9" s="127">
        <f>'SLP-Verfahren'!D43</f>
        <v>1</v>
      </c>
      <c r="H9" s="141" t="s">
        <v>600</v>
      </c>
    </row>
    <row r="10" spans="1:56">
      <c r="C10" s="40" t="s">
        <v>584</v>
      </c>
      <c r="F10" s="247">
        <v>2</v>
      </c>
      <c r="G10" s="41"/>
      <c r="H10" s="141" t="s">
        <v>601</v>
      </c>
    </row>
    <row r="11" spans="1:56">
      <c r="C11" s="40" t="s">
        <v>602</v>
      </c>
      <c r="F11" s="245">
        <f>INDEX('SLP-Verfahren'!D45:D59,'SLP-Temp-Gebiet #02'!F10)</f>
        <v>0</v>
      </c>
      <c r="G11" s="248"/>
      <c r="H11" s="68"/>
    </row>
    <row r="12" spans="1:56"/>
    <row r="13" spans="1:56" ht="18" customHeight="1">
      <c r="C13" s="287" t="s">
        <v>583</v>
      </c>
      <c r="D13" s="287"/>
      <c r="E13" s="287"/>
      <c r="F13" s="16" t="s">
        <v>547</v>
      </c>
      <c r="G13" t="s">
        <v>545</v>
      </c>
      <c r="H13" s="217" t="s">
        <v>562</v>
      </c>
      <c r="I13" s="41"/>
    </row>
    <row r="14" spans="1:56" ht="19.5" customHeight="1">
      <c r="C14" s="288" t="s">
        <v>445</v>
      </c>
      <c r="D14" s="288"/>
      <c r="E14" s="5" t="s">
        <v>446</v>
      </c>
      <c r="F14" s="218" t="s">
        <v>85</v>
      </c>
      <c r="G14" s="219" t="s">
        <v>571</v>
      </c>
      <c r="H14" s="36">
        <v>0</v>
      </c>
      <c r="I14" s="41"/>
      <c r="O14" s="142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88" t="s">
        <v>385</v>
      </c>
      <c r="D15" s="288"/>
      <c r="E15" s="5" t="s">
        <v>446</v>
      </c>
      <c r="F15" s="218" t="s">
        <v>71</v>
      </c>
      <c r="G15" s="219" t="s">
        <v>565</v>
      </c>
      <c r="H15" s="36">
        <v>0</v>
      </c>
      <c r="I15" s="41"/>
      <c r="O15" s="133" t="s">
        <v>527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548</v>
      </c>
      <c r="AJ15" s="216" t="s">
        <v>549</v>
      </c>
      <c r="AK15" s="216" t="s">
        <v>550</v>
      </c>
      <c r="AL15" s="216" t="s">
        <v>551</v>
      </c>
      <c r="AM15" s="216" t="s">
        <v>552</v>
      </c>
      <c r="AN15" s="216" t="s">
        <v>553</v>
      </c>
      <c r="AO15" s="216" t="s">
        <v>554</v>
      </c>
      <c r="AP15" s="216" t="s">
        <v>555</v>
      </c>
      <c r="AQ15" s="216" t="s">
        <v>556</v>
      </c>
      <c r="AR15" s="216" t="s">
        <v>557</v>
      </c>
      <c r="AS15" s="216" t="s">
        <v>558</v>
      </c>
      <c r="AT15" s="216" t="s">
        <v>559</v>
      </c>
      <c r="AU15" s="216" t="s">
        <v>560</v>
      </c>
      <c r="AV15" s="216" t="s">
        <v>561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1"/>
      <c r="R16" s="169"/>
      <c r="S16" s="169"/>
    </row>
    <row r="17" spans="2:20" ht="19.5" customHeight="1">
      <c r="B17" s="144" t="s">
        <v>516</v>
      </c>
      <c r="D17" s="143"/>
      <c r="R17" s="169"/>
      <c r="S17" s="169"/>
    </row>
    <row r="18" spans="2:20">
      <c r="C18" s="40" t="s">
        <v>522</v>
      </c>
      <c r="F18" s="34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517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0">
      <c r="B21" s="16"/>
      <c r="C21" s="149" t="s">
        <v>524</v>
      </c>
      <c r="D21" s="126" t="s">
        <v>515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536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0">
      <c r="B23" s="16"/>
      <c r="C23" s="149" t="s">
        <v>137</v>
      </c>
      <c r="D23" s="152"/>
      <c r="E23" s="129" t="s">
        <v>139</v>
      </c>
      <c r="F23" s="129" t="s">
        <v>139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9" t="s">
        <v>139</v>
      </c>
      <c r="S23" s="49" t="s">
        <v>502</v>
      </c>
      <c r="T23" s="246" t="str">
        <f>O15</f>
        <v>Wetterdienstleister ABC</v>
      </c>
    </row>
    <row r="24" spans="2:20">
      <c r="B24" s="16"/>
      <c r="C24" s="149" t="s">
        <v>519</v>
      </c>
      <c r="D24" s="152"/>
      <c r="E24" s="129" t="s">
        <v>580</v>
      </c>
      <c r="F24" s="129" t="s">
        <v>581</v>
      </c>
      <c r="G24" s="129"/>
      <c r="H24" s="129"/>
      <c r="I24" s="129"/>
      <c r="J24" s="129"/>
      <c r="K24" s="129"/>
      <c r="L24" s="129"/>
      <c r="M24" s="129"/>
      <c r="N24" s="129"/>
      <c r="O24" s="150" t="s">
        <v>520</v>
      </c>
      <c r="Q24" s="170"/>
    </row>
    <row r="25" spans="2:20">
      <c r="B25" s="16"/>
      <c r="C25" s="149" t="s">
        <v>514</v>
      </c>
      <c r="D25" s="152"/>
      <c r="E25" s="129" t="s">
        <v>361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9" t="s">
        <v>138</v>
      </c>
    </row>
    <row r="26" spans="2:20">
      <c r="B26" s="16"/>
      <c r="C26" s="149" t="s">
        <v>141</v>
      </c>
      <c r="D26" s="152"/>
      <c r="E26" s="129" t="s">
        <v>503</v>
      </c>
      <c r="F26" s="129" t="s">
        <v>503</v>
      </c>
      <c r="G26" s="129"/>
      <c r="H26" s="129"/>
      <c r="I26" s="129"/>
      <c r="J26" s="129"/>
      <c r="K26" s="129"/>
      <c r="L26" s="129"/>
      <c r="M26" s="129"/>
      <c r="N26" s="129"/>
      <c r="O26" s="150" t="s">
        <v>142</v>
      </c>
      <c r="Q26" s="170"/>
      <c r="R26" s="49" t="s">
        <v>503</v>
      </c>
      <c r="S26" s="49" t="s">
        <v>504</v>
      </c>
    </row>
    <row r="27" spans="2:20">
      <c r="B27" s="16"/>
      <c r="C27" s="153"/>
      <c r="Q27" s="170"/>
    </row>
    <row r="28" spans="2:20">
      <c r="C28" s="40" t="s">
        <v>518</v>
      </c>
      <c r="F28" s="34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140</v>
      </c>
      <c r="D30" s="146" t="s">
        <v>256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144</v>
      </c>
      <c r="Q30" s="170"/>
    </row>
    <row r="31" spans="2:20">
      <c r="B31" s="16"/>
      <c r="C31" s="149" t="s">
        <v>525</v>
      </c>
      <c r="D31" s="151" t="s">
        <v>255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>
      <c r="B32" s="16"/>
      <c r="C32" s="149" t="s">
        <v>532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145</v>
      </c>
      <c r="Q32" s="170"/>
    </row>
    <row r="33" spans="2:28">
      <c r="B33" s="16"/>
      <c r="C33" s="149" t="s">
        <v>359</v>
      </c>
      <c r="D33" s="126" t="s">
        <v>358</v>
      </c>
      <c r="E33" s="129" t="s">
        <v>3</v>
      </c>
      <c r="F33" s="129" t="s">
        <v>357</v>
      </c>
      <c r="G33" s="129" t="s">
        <v>348</v>
      </c>
      <c r="H33" s="129" t="s">
        <v>349</v>
      </c>
      <c r="I33" s="129"/>
      <c r="J33" s="129"/>
      <c r="K33" s="129"/>
      <c r="L33" s="129"/>
      <c r="M33" s="129"/>
      <c r="N33" s="129"/>
      <c r="O33" s="150" t="s">
        <v>142</v>
      </c>
      <c r="Q33" s="170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49" t="s">
        <v>448</v>
      </c>
      <c r="D34" s="126" t="s">
        <v>447</v>
      </c>
      <c r="E34" s="129" t="s">
        <v>511</v>
      </c>
      <c r="F34" s="129" t="s">
        <v>511</v>
      </c>
      <c r="G34" s="129" t="s">
        <v>511</v>
      </c>
      <c r="H34" s="129" t="s">
        <v>511</v>
      </c>
      <c r="I34" s="134"/>
      <c r="J34" s="134"/>
      <c r="K34" s="134"/>
      <c r="L34" s="134"/>
      <c r="M34" s="134"/>
      <c r="N34" s="134"/>
      <c r="O34" s="150" t="s">
        <v>142</v>
      </c>
      <c r="Q34" s="170"/>
      <c r="R34" s="49" t="s">
        <v>511</v>
      </c>
      <c r="S34" s="49" t="s">
        <v>512</v>
      </c>
    </row>
    <row r="35" spans="2:28">
      <c r="B35" s="16"/>
      <c r="C35" s="149" t="s">
        <v>604</v>
      </c>
      <c r="D35" s="126" t="s">
        <v>605</v>
      </c>
      <c r="E35" s="129" t="s">
        <v>603</v>
      </c>
      <c r="F35" s="129" t="s">
        <v>603</v>
      </c>
      <c r="G35" s="129" t="s">
        <v>603</v>
      </c>
      <c r="H35" s="129" t="s">
        <v>603</v>
      </c>
      <c r="I35" s="129" t="s">
        <v>603</v>
      </c>
      <c r="J35" s="129" t="s">
        <v>603</v>
      </c>
      <c r="K35" s="129" t="s">
        <v>603</v>
      </c>
      <c r="L35" s="129" t="s">
        <v>603</v>
      </c>
      <c r="M35" s="129" t="s">
        <v>603</v>
      </c>
      <c r="N35" s="129" t="s">
        <v>603</v>
      </c>
      <c r="O35" s="150" t="s">
        <v>142</v>
      </c>
      <c r="Q35" s="170"/>
      <c r="R35" s="49" t="s">
        <v>603</v>
      </c>
      <c r="S35" s="49" t="s">
        <v>606</v>
      </c>
      <c r="T35" s="41"/>
    </row>
    <row r="36" spans="2:28">
      <c r="B36" s="16"/>
      <c r="C36" s="152" t="s">
        <v>440</v>
      </c>
      <c r="D36" s="98" t="s">
        <v>537</v>
      </c>
      <c r="E36" s="134" t="s">
        <v>449</v>
      </c>
      <c r="F36" s="134" t="s">
        <v>449</v>
      </c>
      <c r="G36" s="134" t="s">
        <v>450</v>
      </c>
      <c r="H36" s="134" t="s">
        <v>450</v>
      </c>
      <c r="I36" s="134"/>
      <c r="J36" s="134"/>
      <c r="K36" s="134"/>
      <c r="L36" s="134"/>
      <c r="M36" s="134"/>
      <c r="N36" s="134"/>
      <c r="O36" s="150" t="s">
        <v>142</v>
      </c>
      <c r="Q36" s="170"/>
      <c r="R36" s="49" t="s">
        <v>450</v>
      </c>
      <c r="S36" s="49" t="s">
        <v>449</v>
      </c>
    </row>
    <row r="37" spans="2:28" ht="15.75" thickBot="1"/>
    <row r="38" spans="2:28">
      <c r="C38" s="155" t="s">
        <v>267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347</v>
      </c>
      <c r="D39" s="159"/>
      <c r="E39" s="159" t="s">
        <v>530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531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523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528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529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534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535</v>
      </c>
      <c r="D46" s="162" t="s">
        <v>533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360</v>
      </c>
      <c r="K46" s="159"/>
      <c r="L46" s="159"/>
      <c r="M46" s="159"/>
      <c r="N46" s="159"/>
      <c r="O46" s="160"/>
    </row>
    <row r="47" spans="2:28">
      <c r="C47" s="161" t="s">
        <v>346</v>
      </c>
      <c r="D47" s="162" t="s">
        <v>533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578</v>
      </c>
    </row>
    <row r="51" spans="2:15">
      <c r="I51" s="1"/>
    </row>
    <row r="52" spans="2:15">
      <c r="C52" s="40" t="s">
        <v>542</v>
      </c>
      <c r="F52" s="130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517</v>
      </c>
      <c r="D54" s="146" t="s">
        <v>513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144</v>
      </c>
    </row>
    <row r="55" spans="2:15">
      <c r="B55" s="16"/>
      <c r="C55" s="149" t="s">
        <v>524</v>
      </c>
      <c r="D55" s="126" t="s">
        <v>515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>
      <c r="B56" s="16"/>
      <c r="C56" s="149" t="s">
        <v>536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145</v>
      </c>
    </row>
    <row r="57" spans="2:15">
      <c r="B57" s="16"/>
      <c r="C57" s="149" t="s">
        <v>137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142</v>
      </c>
    </row>
    <row r="58" spans="2:15">
      <c r="B58" s="16"/>
      <c r="C58" s="149" t="s">
        <v>519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520</v>
      </c>
    </row>
    <row r="59" spans="2:15">
      <c r="B59" s="16"/>
      <c r="C59" s="149" t="s">
        <v>514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143</v>
      </c>
    </row>
    <row r="60" spans="2:15">
      <c r="B60" s="16"/>
      <c r="C60" s="149" t="s">
        <v>141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142</v>
      </c>
    </row>
    <row r="61" spans="2:15"/>
    <row r="62" spans="2:15">
      <c r="C62" s="40" t="s">
        <v>518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140</v>
      </c>
      <c r="D64" s="146" t="s">
        <v>256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144</v>
      </c>
    </row>
    <row r="65" spans="2:15">
      <c r="B65" s="16"/>
      <c r="C65" s="149" t="s">
        <v>525</v>
      </c>
      <c r="D65" s="151" t="s">
        <v>255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>
      <c r="B66" s="16"/>
      <c r="C66" s="149" t="s">
        <v>532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145</v>
      </c>
    </row>
    <row r="67" spans="2:15">
      <c r="B67" s="16"/>
      <c r="C67" s="149" t="s">
        <v>359</v>
      </c>
      <c r="D67" s="126" t="s">
        <v>358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142</v>
      </c>
    </row>
    <row r="68" spans="2:15">
      <c r="B68" s="16"/>
      <c r="C68" s="149" t="s">
        <v>448</v>
      </c>
      <c r="D68" s="126" t="s">
        <v>447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142</v>
      </c>
    </row>
    <row r="69" spans="2:15">
      <c r="B69" s="16"/>
      <c r="C69" s="149" t="s">
        <v>604</v>
      </c>
      <c r="D69" s="126" t="s">
        <v>605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142</v>
      </c>
    </row>
    <row r="70" spans="2:15">
      <c r="B70" s="16"/>
      <c r="C70" s="152" t="s">
        <v>440</v>
      </c>
      <c r="D70" s="98" t="s">
        <v>537</v>
      </c>
      <c r="E70" s="135" t="s">
        <v>450</v>
      </c>
      <c r="F70" s="135" t="s">
        <v>450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142</v>
      </c>
    </row>
    <row r="71" spans="2:15"/>
    <row r="72" spans="2:15" ht="15.75" customHeight="1">
      <c r="C72" s="289" t="s">
        <v>579</v>
      </c>
      <c r="D72" s="289"/>
      <c r="E72" s="289"/>
      <c r="F72" s="289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36" priority="18">
      <formula>IF(E$20&lt;=$F$18,1,0)</formula>
    </cfRule>
  </conditionalFormatting>
  <conditionalFormatting sqref="E32:N36">
    <cfRule type="expression" dxfId="35" priority="17">
      <formula>IF(E$30&lt;=$F$28,1,0)</formula>
    </cfRule>
  </conditionalFormatting>
  <conditionalFormatting sqref="E26:F26">
    <cfRule type="expression" dxfId="34" priority="16">
      <formula>IF(E$20&lt;=$F$18,1,0)</formula>
    </cfRule>
  </conditionalFormatting>
  <conditionalFormatting sqref="E26:N26">
    <cfRule type="expression" dxfId="33" priority="15">
      <formula>IF(E$20&lt;=$F$18,1,0)</formula>
    </cfRule>
  </conditionalFormatting>
  <conditionalFormatting sqref="E56:N59">
    <cfRule type="expression" dxfId="32" priority="14">
      <formula>IF(E$54&lt;=$F$52,1,0)</formula>
    </cfRule>
  </conditionalFormatting>
  <conditionalFormatting sqref="E60:N60">
    <cfRule type="expression" dxfId="31" priority="13">
      <formula>IF(E$54&lt;=$F$52,1,0)</formula>
    </cfRule>
  </conditionalFormatting>
  <conditionalFormatting sqref="E66:N68">
    <cfRule type="expression" dxfId="30" priority="12">
      <formula>IF(E$64&lt;=$F$62,1,0)</formula>
    </cfRule>
  </conditionalFormatting>
  <conditionalFormatting sqref="E65:N68 E70:N70">
    <cfRule type="expression" dxfId="29" priority="11">
      <formula>IF(E$64&gt;$F$62,1,0)</formula>
    </cfRule>
  </conditionalFormatting>
  <conditionalFormatting sqref="E56:N60">
    <cfRule type="expression" dxfId="28" priority="10">
      <formula>IF(E$54&gt;$F$52,1,0)</formula>
    </cfRule>
  </conditionalFormatting>
  <conditionalFormatting sqref="E21:N26">
    <cfRule type="expression" dxfId="27" priority="9">
      <formula>IF(E$20&gt;$F$18,1,0)</formula>
    </cfRule>
  </conditionalFormatting>
  <conditionalFormatting sqref="E32:N36">
    <cfRule type="expression" dxfId="26" priority="8">
      <formula>IF(E$30&gt;$F$28,1,0)</formula>
    </cfRule>
  </conditionalFormatting>
  <conditionalFormatting sqref="H11 H8:H9">
    <cfRule type="expression" dxfId="25" priority="7">
      <formula>IF($F$9=1,1,0)</formula>
    </cfRule>
  </conditionalFormatting>
  <conditionalFormatting sqref="E55:N55">
    <cfRule type="expression" dxfId="24" priority="6">
      <formula>IF(E$54&gt;$F$52,1,0)</formula>
    </cfRule>
  </conditionalFormatting>
  <conditionalFormatting sqref="E31:N31">
    <cfRule type="expression" dxfId="23" priority="5">
      <formula>IF(E$30&gt;$F$28,1,0)</formula>
    </cfRule>
  </conditionalFormatting>
  <conditionalFormatting sqref="E70:N70">
    <cfRule type="expression" dxfId="22" priority="4">
      <formula>IF(E$64&lt;=$F$62,1,0)</formula>
    </cfRule>
  </conditionalFormatting>
  <conditionalFormatting sqref="H10">
    <cfRule type="expression" dxfId="21" priority="3">
      <formula>IF($F$9=1,1,0)</formula>
    </cfRule>
  </conditionalFormatting>
  <conditionalFormatting sqref="E69:N69">
    <cfRule type="expression" dxfId="20" priority="2">
      <formula>IF(E$64&lt;=$F$62,1,0)</formula>
    </cfRule>
  </conditionalFormatting>
  <conditionalFormatting sqref="E69:N69">
    <cfRule type="expression" dxfId="19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H49" sqref="H49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Stadtwerke Dillingen/Saar Netzgesellschaft mbH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Dillingen/Saar</v>
      </c>
      <c r="I6" s="8" t="s">
        <v>508</v>
      </c>
    </row>
    <row r="7" spans="2:26">
      <c r="C7" s="38" t="s">
        <v>485</v>
      </c>
      <c r="D7" s="39">
        <f>Netzbetreiber!$D$11</f>
        <v>9870088600002</v>
      </c>
    </row>
    <row r="8" spans="2:26">
      <c r="C8" s="38" t="s">
        <v>133</v>
      </c>
      <c r="D8" s="37">
        <f>Netzbetreiber!$D$6</f>
        <v>44470</v>
      </c>
      <c r="H8" t="s">
        <v>493</v>
      </c>
      <c r="J8" s="108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28" t="s">
        <v>510</v>
      </c>
      <c r="F10" s="110" t="s">
        <v>148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634</v>
      </c>
      <c r="M10" s="123" t="s">
        <v>643</v>
      </c>
      <c r="N10" s="124" t="s">
        <v>644</v>
      </c>
      <c r="O10" s="124" t="s">
        <v>645</v>
      </c>
      <c r="P10" s="125" t="s">
        <v>646</v>
      </c>
      <c r="Q10" s="119" t="s">
        <v>635</v>
      </c>
      <c r="R10" s="111" t="s">
        <v>636</v>
      </c>
      <c r="S10" s="112" t="s">
        <v>637</v>
      </c>
      <c r="T10" s="112" t="s">
        <v>638</v>
      </c>
      <c r="U10" s="112" t="s">
        <v>639</v>
      </c>
      <c r="V10" s="112" t="s">
        <v>640</v>
      </c>
      <c r="W10" s="112" t="s">
        <v>641</v>
      </c>
      <c r="X10" s="113" t="s">
        <v>642</v>
      </c>
      <c r="Y10" s="252" t="s">
        <v>647</v>
      </c>
    </row>
    <row r="11" spans="2:26" ht="15.75" thickBot="1">
      <c r="B11" s="114" t="s">
        <v>494</v>
      </c>
      <c r="C11" s="115" t="s">
        <v>509</v>
      </c>
      <c r="D11" s="251" t="s">
        <v>248</v>
      </c>
      <c r="E11" s="136" t="s">
        <v>664</v>
      </c>
      <c r="F11" s="253" t="str">
        <f>VLOOKUP($E11,'BDEW-Standard'!$B$3:$M$158,F$9,0)</f>
        <v>D14</v>
      </c>
      <c r="H11" s="138">
        <f>ROUND(VLOOKUP($E11,'BDEW-Standard'!$B$3:$M$158,H$9,0),7)</f>
        <v>3.1850190999999999</v>
      </c>
      <c r="I11" s="138">
        <f>ROUND(VLOOKUP($E11,'BDEW-Standard'!$B$3:$M$158,I$9,0),7)</f>
        <v>-37.412415500000002</v>
      </c>
      <c r="J11" s="138">
        <f>ROUND(VLOOKUP($E11,'BDEW-Standard'!$B$3:$M$158,J$9,0),7)</f>
        <v>6.1723179000000004</v>
      </c>
      <c r="K11" s="138">
        <f>ROUND(VLOOKUP($E11,'BDEW-Standard'!$B$3:$M$158,K$9,0),7)</f>
        <v>7.6109599999999999E-2</v>
      </c>
      <c r="L11" s="173">
        <f>ROUND(VLOOKUP($E11,'BDEW-Standard'!$B$3:$M$158,L$9,0),1)</f>
        <v>40</v>
      </c>
      <c r="M11" s="138">
        <f>ROUND(VLOOKUP($E11,'BDEW-Standard'!$B$3:$M$158,M$9,0),7)</f>
        <v>0</v>
      </c>
      <c r="N11" s="138">
        <f>ROUND(VLOOKUP($E11,'BDEW-Standard'!$B$3:$M$158,N$9,0),7)</f>
        <v>0</v>
      </c>
      <c r="O11" s="138">
        <f>ROUND(VLOOKUP($E11,'BDEW-Standard'!$B$3:$M$158,O$9,0),7)</f>
        <v>0</v>
      </c>
      <c r="P11" s="138">
        <f>ROUND(VLOOKUP($E11,'BDEW-Standard'!$B$3:$M$158,P$9,0),7)</f>
        <v>0</v>
      </c>
      <c r="Q11" s="172">
        <f>($H11/(1+($I11/($Q$9-$L11))^$J11)+$K11)+MAX($M11*$Q$9+$N11,$O11*$Q$9+$P11)</f>
        <v>0.95508749343949439</v>
      </c>
      <c r="R11" s="139">
        <f>ROUND(VLOOKUP(MID($E11,4,3),'Wochentag F(WT)'!$B$7:$J$22,R$9,0),4)</f>
        <v>1</v>
      </c>
      <c r="S11" s="139">
        <f>ROUND(VLOOKUP(MID($E11,4,3),'Wochentag F(WT)'!$B$7:$J$22,S$9,0),4)</f>
        <v>1</v>
      </c>
      <c r="T11" s="139">
        <f>ROUND(VLOOKUP(MID($E11,4,3),'Wochentag F(WT)'!$B$7:$J$22,T$9,0),4)</f>
        <v>1</v>
      </c>
      <c r="U11" s="139">
        <f>ROUND(VLOOKUP(MID($E11,4,3),'Wochentag F(WT)'!$B$7:$J$22,U$9,0),4)</f>
        <v>1</v>
      </c>
      <c r="V11" s="139">
        <f>ROUND(VLOOKUP(MID($E11,4,3),'Wochentag F(WT)'!$B$7:$J$22,V$9,0),4)</f>
        <v>1</v>
      </c>
      <c r="W11" s="139">
        <f>ROUND(VLOOKUP(MID($E11,4,3),'Wochentag F(WT)'!$B$7:$J$22,W$9,0),4)</f>
        <v>1</v>
      </c>
      <c r="X11" s="140">
        <f>7-SUM(R11:W11)</f>
        <v>1</v>
      </c>
      <c r="Y11" s="249">
        <v>365.12299999999999</v>
      </c>
    </row>
    <row r="12" spans="2:26" s="116" customFormat="1">
      <c r="B12" s="117">
        <v>1</v>
      </c>
      <c r="C12" s="118" t="str">
        <f t="shared" ref="C12:C41" si="0">$D$6</f>
        <v>Dillingen/Saar</v>
      </c>
      <c r="D12" s="46" t="s">
        <v>248</v>
      </c>
      <c r="E12" s="137" t="s">
        <v>13</v>
      </c>
      <c r="F12" s="254" t="str">
        <f>VLOOKUP($E12,'BDEW-Standard'!$B$3:$M$158,F$9,0)</f>
        <v>A14</v>
      </c>
      <c r="H12" s="229">
        <f>ROUND(VLOOKUP($E12,'BDEW-Standard'!$B$3:$M$158,H$9,0),7)</f>
        <v>3.2107659000000002</v>
      </c>
      <c r="I12" s="229">
        <f>ROUND(VLOOKUP($E12,'BDEW-Standard'!$B$3:$M$158,I$9,0),7)</f>
        <v>-37.417880099999998</v>
      </c>
      <c r="J12" s="229">
        <f>ROUND(VLOOKUP($E12,'BDEW-Standard'!$B$3:$M$158,J$9,0),7)</f>
        <v>6.2023999999999999</v>
      </c>
      <c r="K12" s="229">
        <f>ROUND(VLOOKUP($E12,'BDEW-Standard'!$B$3:$M$158,K$9,0),7)</f>
        <v>7.30243E-2</v>
      </c>
      <c r="L12" s="230">
        <f>ROUND(VLOOKUP($E12,'BDEW-Standard'!$B$3:$M$158,L$9,0),1)</f>
        <v>40</v>
      </c>
      <c r="M12" s="229">
        <f>ROUND(VLOOKUP($E12,'BDEW-Standard'!$B$3:$M$158,M$9,0),7)</f>
        <v>0</v>
      </c>
      <c r="N12" s="229">
        <f>ROUND(VLOOKUP($E12,'BDEW-Standard'!$B$3:$M$158,N$9,0),7)</f>
        <v>0</v>
      </c>
      <c r="O12" s="229">
        <f>ROUND(VLOOKUP($E12,'BDEW-Standard'!$B$3:$M$158,O$9,0),7)</f>
        <v>0</v>
      </c>
      <c r="P12" s="229">
        <f>ROUND(VLOOKUP($E12,'BDEW-Standard'!$B$3:$M$158,P$9,0),7)</f>
        <v>0</v>
      </c>
      <c r="Q12" s="231">
        <f>($H12/(1+($I12/($Q$9-$L12))^$J12)+$K12)+MAX($M12*$Q$9+$N12,$O12*$Q$9+$P12)</f>
        <v>0.95551514800808202</v>
      </c>
      <c r="R12" s="232">
        <f>ROUND(VLOOKUP(MID($E12,4,3),'Wochentag F(WT)'!$B$7:$J$22,R$9,0),4)</f>
        <v>1</v>
      </c>
      <c r="S12" s="232">
        <f>ROUND(VLOOKUP(MID($E12,4,3),'Wochentag F(WT)'!$B$7:$J$22,S$9,0),4)</f>
        <v>1</v>
      </c>
      <c r="T12" s="232">
        <f>ROUND(VLOOKUP(MID($E12,4,3),'Wochentag F(WT)'!$B$7:$J$22,T$9,0),4)</f>
        <v>1</v>
      </c>
      <c r="U12" s="232">
        <f>ROUND(VLOOKUP(MID($E12,4,3),'Wochentag F(WT)'!$B$7:$J$22,U$9,0),4)</f>
        <v>1</v>
      </c>
      <c r="V12" s="232">
        <f>ROUND(VLOOKUP(MID($E12,4,3),'Wochentag F(WT)'!$B$7:$J$22,V$9,0),4)</f>
        <v>1</v>
      </c>
      <c r="W12" s="232">
        <f>ROUND(VLOOKUP(MID($E12,4,3),'Wochentag F(WT)'!$B$7:$J$22,W$9,0),4)</f>
        <v>1</v>
      </c>
      <c r="X12" s="233">
        <f>7-SUM(R12:W12)</f>
        <v>1</v>
      </c>
      <c r="Y12" s="250"/>
      <c r="Z12" s="171"/>
    </row>
    <row r="13" spans="2:26" s="116" customFormat="1">
      <c r="B13" s="117">
        <v>2</v>
      </c>
      <c r="C13" s="118" t="str">
        <f t="shared" si="0"/>
        <v>Dillingen/Saar</v>
      </c>
      <c r="D13" s="46" t="s">
        <v>248</v>
      </c>
      <c r="E13" s="137" t="s">
        <v>17</v>
      </c>
      <c r="F13" s="254" t="str">
        <f>VLOOKUP($E13,'BDEW-Standard'!$B$3:$M$158,F$9,0)</f>
        <v>A24</v>
      </c>
      <c r="H13" s="229">
        <f>ROUND(VLOOKUP($E13,'BDEW-Standard'!$B$3:$M$158,H$9,0),7)</f>
        <v>2.5516882000000001</v>
      </c>
      <c r="I13" s="229">
        <f>ROUND(VLOOKUP($E13,'BDEW-Standard'!$B$3:$M$158,I$9,0),7)</f>
        <v>-35.023421900000002</v>
      </c>
      <c r="J13" s="229">
        <f>ROUND(VLOOKUP($E13,'BDEW-Standard'!$B$3:$M$158,J$9,0),7)</f>
        <v>6.1680698999999999</v>
      </c>
      <c r="K13" s="229">
        <f>ROUND(VLOOKUP($E13,'BDEW-Standard'!$B$3:$M$158,K$9,0),7)</f>
        <v>9.1749600000000001E-2</v>
      </c>
      <c r="L13" s="230">
        <f>ROUND(VLOOKUP($E13,'BDEW-Standard'!$B$3:$M$158,L$9,0),1)</f>
        <v>40</v>
      </c>
      <c r="M13" s="229">
        <f>ROUND(VLOOKUP($E13,'BDEW-Standard'!$B$3:$M$158,M$9,0),7)</f>
        <v>0</v>
      </c>
      <c r="N13" s="229">
        <f>ROUND(VLOOKUP($E13,'BDEW-Standard'!$B$3:$M$158,N$9,0),7)</f>
        <v>0</v>
      </c>
      <c r="O13" s="229">
        <f>ROUND(VLOOKUP($E13,'BDEW-Standard'!$B$3:$M$158,O$9,0),7)</f>
        <v>0</v>
      </c>
      <c r="P13" s="229">
        <f>ROUND(VLOOKUP($E13,'BDEW-Standard'!$B$3:$M$158,P$9,0),7)</f>
        <v>0</v>
      </c>
      <c r="Q13" s="231">
        <f>($H13/(1+($I13/($Q$9-$L13))^$J13)+$K13)+MAX($M13*$Q$9+$N13,$O13*$Q$9+$P13)</f>
        <v>1.0212638513300196</v>
      </c>
      <c r="R13" s="232">
        <f>ROUND(VLOOKUP(MID($E13,4,3),'Wochentag F(WT)'!$B$7:$J$22,R$9,0),4)</f>
        <v>1</v>
      </c>
      <c r="S13" s="232">
        <f>ROUND(VLOOKUP(MID($E13,4,3),'Wochentag F(WT)'!$B$7:$J$22,S$9,0),4)</f>
        <v>1</v>
      </c>
      <c r="T13" s="232">
        <f>ROUND(VLOOKUP(MID($E13,4,3),'Wochentag F(WT)'!$B$7:$J$22,T$9,0),4)</f>
        <v>1</v>
      </c>
      <c r="U13" s="232">
        <f>ROUND(VLOOKUP(MID($E13,4,3),'Wochentag F(WT)'!$B$7:$J$22,U$9,0),4)</f>
        <v>1</v>
      </c>
      <c r="V13" s="232">
        <f>ROUND(VLOOKUP(MID($E13,4,3),'Wochentag F(WT)'!$B$7:$J$22,V$9,0),4)</f>
        <v>1</v>
      </c>
      <c r="W13" s="232">
        <f>ROUND(VLOOKUP(MID($E13,4,3),'Wochentag F(WT)'!$B$7:$J$22,W$9,0),4)</f>
        <v>1</v>
      </c>
      <c r="X13" s="233">
        <f>7-SUM(R13:W13)</f>
        <v>1</v>
      </c>
      <c r="Y13" s="250"/>
      <c r="Z13" s="171"/>
    </row>
    <row r="14" spans="2:26" s="116" customFormat="1">
      <c r="B14" s="117">
        <v>3</v>
      </c>
      <c r="C14" s="118" t="str">
        <f t="shared" si="0"/>
        <v>Dillingen/Saar</v>
      </c>
      <c r="D14" s="46" t="s">
        <v>248</v>
      </c>
      <c r="E14" s="137" t="s">
        <v>665</v>
      </c>
      <c r="F14" s="254" t="str">
        <f>VLOOKUP($E14,'BDEW-Standard'!$B$3:$M$94,F$9,0)</f>
        <v>KO4</v>
      </c>
      <c r="H14" s="229">
        <f>ROUND(VLOOKUP($E14,'BDEW-Standard'!$B$3:$M$94,H$9,0),7)</f>
        <v>3.4428942999999999</v>
      </c>
      <c r="I14" s="229">
        <f>ROUND(VLOOKUP($E14,'BDEW-Standard'!$B$3:$M$94,I$9,0),7)</f>
        <v>-36.659050399999998</v>
      </c>
      <c r="J14" s="229">
        <f>ROUND(VLOOKUP($E14,'BDEW-Standard'!$B$3:$M$94,J$9,0),7)</f>
        <v>7.6083226000000002</v>
      </c>
      <c r="K14" s="229">
        <f>ROUND(VLOOKUP($E14,'BDEW-Standard'!$B$3:$M$94,K$9,0),7)</f>
        <v>7.4685000000000001E-2</v>
      </c>
      <c r="L14" s="230">
        <f>ROUND(VLOOKUP($E14,'BDEW-Standard'!$B$3:$M$94,L$9,0),1)</f>
        <v>40</v>
      </c>
      <c r="M14" s="229">
        <f>ROUND(VLOOKUP($E14,'BDEW-Standard'!$B$3:$M$94,M$9,0),7)</f>
        <v>0</v>
      </c>
      <c r="N14" s="229">
        <f>ROUND(VLOOKUP($E14,'BDEW-Standard'!$B$3:$M$94,N$9,0),7)</f>
        <v>0</v>
      </c>
      <c r="O14" s="229">
        <f>ROUND(VLOOKUP($E14,'BDEW-Standard'!$B$3:$M$94,O$9,0),7)</f>
        <v>0</v>
      </c>
      <c r="P14" s="229">
        <f>ROUND(VLOOKUP($E14,'BDEW-Standard'!$B$3:$M$94,P$9,0),7)</f>
        <v>0</v>
      </c>
      <c r="Q14" s="231">
        <f t="shared" ref="Q14:Q26" si="1">($H14/(1+($I14/($Q$9-$L14))^$J14)+$K14)+MAX($M14*$Q$9+$N14,$O14*$Q$9+$P14)</f>
        <v>0.97768382110526542</v>
      </c>
      <c r="R14" s="232">
        <f>ROUND(VLOOKUP(MID($E14,4,3),'Wochentag F(WT)'!$B$7:$J$22,R$9,0),4)</f>
        <v>1.0354000000000001</v>
      </c>
      <c r="S14" s="232">
        <f>ROUND(VLOOKUP(MID($E14,4,3),'Wochentag F(WT)'!$B$7:$J$22,S$9,0),4)</f>
        <v>1.0523</v>
      </c>
      <c r="T14" s="232">
        <f>ROUND(VLOOKUP(MID($E14,4,3),'Wochentag F(WT)'!$B$7:$J$22,T$9,0),4)</f>
        <v>1.0448999999999999</v>
      </c>
      <c r="U14" s="232">
        <f>ROUND(VLOOKUP(MID($E14,4,3),'Wochentag F(WT)'!$B$7:$J$22,U$9,0),4)</f>
        <v>1.0494000000000001</v>
      </c>
      <c r="V14" s="232">
        <f>ROUND(VLOOKUP(MID($E14,4,3),'Wochentag F(WT)'!$B$7:$J$22,V$9,0),4)</f>
        <v>0.98850000000000005</v>
      </c>
      <c r="W14" s="232">
        <f>ROUND(VLOOKUP(MID($E14,4,3),'Wochentag F(WT)'!$B$7:$J$22,W$9,0),4)</f>
        <v>0.88600000000000001</v>
      </c>
      <c r="X14" s="233">
        <f t="shared" ref="X14:X26" si="2">7-SUM(R14:W14)</f>
        <v>0.94349999999999934</v>
      </c>
      <c r="Y14" s="250"/>
      <c r="Z14" s="171"/>
    </row>
    <row r="15" spans="2:26" s="116" customFormat="1">
      <c r="B15" s="117">
        <v>4</v>
      </c>
      <c r="C15" s="118" t="str">
        <f t="shared" si="0"/>
        <v>Dillingen/Saar</v>
      </c>
      <c r="D15" s="46" t="s">
        <v>248</v>
      </c>
      <c r="E15" s="137" t="s">
        <v>666</v>
      </c>
      <c r="F15" s="254" t="str">
        <f>VLOOKUP($E15,'BDEW-Standard'!$B$3:$M$94,F$9,0)</f>
        <v>MK4</v>
      </c>
      <c r="H15" s="229">
        <f>ROUND(VLOOKUP($E15,'BDEW-Standard'!$B$3:$M$94,H$9,0),7)</f>
        <v>3.1177248</v>
      </c>
      <c r="I15" s="229">
        <f>ROUND(VLOOKUP($E15,'BDEW-Standard'!$B$3:$M$94,I$9,0),7)</f>
        <v>-35.871506199999999</v>
      </c>
      <c r="J15" s="229">
        <f>ROUND(VLOOKUP($E15,'BDEW-Standard'!$B$3:$M$94,J$9,0),7)</f>
        <v>7.5186828999999999</v>
      </c>
      <c r="K15" s="229">
        <f>ROUND(VLOOKUP($E15,'BDEW-Standard'!$B$3:$M$94,K$9,0),7)</f>
        <v>3.4330100000000002E-2</v>
      </c>
      <c r="L15" s="230">
        <f>ROUND(VLOOKUP($E15,'BDEW-Standard'!$B$3:$M$94,L$9,0),1)</f>
        <v>40</v>
      </c>
      <c r="M15" s="229">
        <f>ROUND(VLOOKUP($E15,'BDEW-Standard'!$B$3:$M$94,M$9,0),7)</f>
        <v>0</v>
      </c>
      <c r="N15" s="229">
        <f>ROUND(VLOOKUP($E15,'BDEW-Standard'!$B$3:$M$94,N$9,0),7)</f>
        <v>0</v>
      </c>
      <c r="O15" s="229">
        <f>ROUND(VLOOKUP($E15,'BDEW-Standard'!$B$3:$M$94,O$9,0),7)</f>
        <v>0</v>
      </c>
      <c r="P15" s="229">
        <f>ROUND(VLOOKUP($E15,'BDEW-Standard'!$B$3:$M$94,P$9,0),7)</f>
        <v>0</v>
      </c>
      <c r="Q15" s="231">
        <f t="shared" si="1"/>
        <v>0.9622064996731321</v>
      </c>
      <c r="R15" s="232">
        <f>ROUND(VLOOKUP(MID($E15,4,3),'Wochentag F(WT)'!$B$7:$J$22,R$9,0),4)</f>
        <v>1.0699000000000001</v>
      </c>
      <c r="S15" s="232">
        <f>ROUND(VLOOKUP(MID($E15,4,3),'Wochentag F(WT)'!$B$7:$J$22,S$9,0),4)</f>
        <v>1.0365</v>
      </c>
      <c r="T15" s="232">
        <f>ROUND(VLOOKUP(MID($E15,4,3),'Wochentag F(WT)'!$B$7:$J$22,T$9,0),4)</f>
        <v>0.99329999999999996</v>
      </c>
      <c r="U15" s="232">
        <f>ROUND(VLOOKUP(MID($E15,4,3),'Wochentag F(WT)'!$B$7:$J$22,U$9,0),4)</f>
        <v>0.99480000000000002</v>
      </c>
      <c r="V15" s="232">
        <f>ROUND(VLOOKUP(MID($E15,4,3),'Wochentag F(WT)'!$B$7:$J$22,V$9,0),4)</f>
        <v>1.0659000000000001</v>
      </c>
      <c r="W15" s="232">
        <f>ROUND(VLOOKUP(MID($E15,4,3),'Wochentag F(WT)'!$B$7:$J$22,W$9,0),4)</f>
        <v>0.93620000000000003</v>
      </c>
      <c r="X15" s="233">
        <f t="shared" si="2"/>
        <v>0.90339999999999954</v>
      </c>
      <c r="Y15" s="250"/>
      <c r="Z15" s="171"/>
    </row>
    <row r="16" spans="2:26" s="116" customFormat="1">
      <c r="B16" s="117">
        <v>5</v>
      </c>
      <c r="C16" s="118" t="str">
        <f t="shared" si="0"/>
        <v>Dillingen/Saar</v>
      </c>
      <c r="D16" s="46" t="s">
        <v>248</v>
      </c>
      <c r="E16" s="137" t="s">
        <v>667</v>
      </c>
      <c r="F16" s="254" t="str">
        <f>VLOOKUP($E16,'BDEW-Standard'!$B$3:$M$94,F$9,0)</f>
        <v>PD4</v>
      </c>
      <c r="H16" s="229">
        <f>ROUND(VLOOKUP($E16,'BDEW-Standard'!$B$3:$M$94,H$9,0),7)</f>
        <v>3.85</v>
      </c>
      <c r="I16" s="229">
        <f>ROUND(VLOOKUP($E16,'BDEW-Standard'!$B$3:$M$94,I$9,0),7)</f>
        <v>-37</v>
      </c>
      <c r="J16" s="229">
        <f>ROUND(VLOOKUP($E16,'BDEW-Standard'!$B$3:$M$94,J$9,0),7)</f>
        <v>10.2405021</v>
      </c>
      <c r="K16" s="229">
        <f>ROUND(VLOOKUP($E16,'BDEW-Standard'!$B$3:$M$94,K$9,0),7)</f>
        <v>4.6924300000000002E-2</v>
      </c>
      <c r="L16" s="230">
        <f>ROUND(VLOOKUP($E16,'BDEW-Standard'!$B$3:$M$94,L$9,0),1)</f>
        <v>40</v>
      </c>
      <c r="M16" s="229">
        <f>ROUND(VLOOKUP($E16,'BDEW-Standard'!$B$3:$M$94,M$9,0),7)</f>
        <v>0</v>
      </c>
      <c r="N16" s="229">
        <f>ROUND(VLOOKUP($E16,'BDEW-Standard'!$B$3:$M$94,N$9,0),7)</f>
        <v>0</v>
      </c>
      <c r="O16" s="229">
        <f>ROUND(VLOOKUP($E16,'BDEW-Standard'!$B$3:$M$94,O$9,0),7)</f>
        <v>0</v>
      </c>
      <c r="P16" s="229">
        <f>ROUND(VLOOKUP($E16,'BDEW-Standard'!$B$3:$M$94,P$9,0),7)</f>
        <v>0</v>
      </c>
      <c r="Q16" s="231">
        <f t="shared" si="1"/>
        <v>0.75691065279879233</v>
      </c>
      <c r="R16" s="232">
        <f>ROUND(VLOOKUP(MID($E16,4,3),'Wochentag F(WT)'!$B$7:$J$22,R$9,0),4)</f>
        <v>1.0214000000000001</v>
      </c>
      <c r="S16" s="232">
        <f>ROUND(VLOOKUP(MID($E16,4,3),'Wochentag F(WT)'!$B$7:$J$22,S$9,0),4)</f>
        <v>1.0866</v>
      </c>
      <c r="T16" s="232">
        <f>ROUND(VLOOKUP(MID($E16,4,3),'Wochentag F(WT)'!$B$7:$J$22,T$9,0),4)</f>
        <v>1.0720000000000001</v>
      </c>
      <c r="U16" s="232">
        <f>ROUND(VLOOKUP(MID($E16,4,3),'Wochentag F(WT)'!$B$7:$J$22,U$9,0),4)</f>
        <v>1.0557000000000001</v>
      </c>
      <c r="V16" s="232">
        <f>ROUND(VLOOKUP(MID($E16,4,3),'Wochentag F(WT)'!$B$7:$J$22,V$9,0),4)</f>
        <v>1.0117</v>
      </c>
      <c r="W16" s="232">
        <f>ROUND(VLOOKUP(MID($E16,4,3),'Wochentag F(WT)'!$B$7:$J$22,W$9,0),4)</f>
        <v>0.90010000000000001</v>
      </c>
      <c r="X16" s="233">
        <f t="shared" si="2"/>
        <v>0.85249999999999915</v>
      </c>
      <c r="Y16" s="250"/>
      <c r="Z16" s="171"/>
    </row>
    <row r="17" spans="2:26" s="116" customFormat="1">
      <c r="B17" s="117">
        <v>6</v>
      </c>
      <c r="C17" s="118" t="str">
        <f t="shared" si="0"/>
        <v>Dillingen/Saar</v>
      </c>
      <c r="D17" s="46" t="s">
        <v>248</v>
      </c>
      <c r="E17" s="137" t="s">
        <v>668</v>
      </c>
      <c r="F17" s="254" t="str">
        <f>VLOOKUP($E17,'BDEW-Standard'!$B$3:$M$94,F$9,0)</f>
        <v>HA4</v>
      </c>
      <c r="H17" s="229">
        <f>ROUND(VLOOKUP($E17,'BDEW-Standard'!$B$3:$M$94,H$9,0),7)</f>
        <v>4.0196902000000003</v>
      </c>
      <c r="I17" s="229">
        <f>ROUND(VLOOKUP($E17,'BDEW-Standard'!$B$3:$M$94,I$9,0),7)</f>
        <v>-37.828203700000003</v>
      </c>
      <c r="J17" s="229">
        <f>ROUND(VLOOKUP($E17,'BDEW-Standard'!$B$3:$M$94,J$9,0),7)</f>
        <v>8.1593368999999996</v>
      </c>
      <c r="K17" s="229">
        <f>ROUND(VLOOKUP($E17,'BDEW-Standard'!$B$3:$M$94,K$9,0),7)</f>
        <v>4.72845E-2</v>
      </c>
      <c r="L17" s="230">
        <f>ROUND(VLOOKUP($E17,'BDEW-Standard'!$B$3:$M$94,L$9,0),1)</f>
        <v>40</v>
      </c>
      <c r="M17" s="229">
        <f>ROUND(VLOOKUP($E17,'BDEW-Standard'!$B$3:$M$94,M$9,0),7)</f>
        <v>0</v>
      </c>
      <c r="N17" s="229">
        <f>ROUND(VLOOKUP($E17,'BDEW-Standard'!$B$3:$M$94,N$9,0),7)</f>
        <v>0</v>
      </c>
      <c r="O17" s="229">
        <f>ROUND(VLOOKUP($E17,'BDEW-Standard'!$B$3:$M$94,O$9,0),7)</f>
        <v>0</v>
      </c>
      <c r="P17" s="229">
        <f>ROUND(VLOOKUP($E17,'BDEW-Standard'!$B$3:$M$94,P$9,0),7)</f>
        <v>0</v>
      </c>
      <c r="Q17" s="231">
        <f t="shared" si="1"/>
        <v>0.86486713303260787</v>
      </c>
      <c r="R17" s="232">
        <f>ROUND(VLOOKUP(MID($E17,4,3),'Wochentag F(WT)'!$B$7:$J$22,R$9,0),4)</f>
        <v>1.0358000000000001</v>
      </c>
      <c r="S17" s="232">
        <f>ROUND(VLOOKUP(MID($E17,4,3),'Wochentag F(WT)'!$B$7:$J$22,S$9,0),4)</f>
        <v>1.0232000000000001</v>
      </c>
      <c r="T17" s="232">
        <f>ROUND(VLOOKUP(MID($E17,4,3),'Wochentag F(WT)'!$B$7:$J$22,T$9,0),4)</f>
        <v>1.0251999999999999</v>
      </c>
      <c r="U17" s="232">
        <f>ROUND(VLOOKUP(MID($E17,4,3),'Wochentag F(WT)'!$B$7:$J$22,U$9,0),4)</f>
        <v>1.0295000000000001</v>
      </c>
      <c r="V17" s="232">
        <f>ROUND(VLOOKUP(MID($E17,4,3),'Wochentag F(WT)'!$B$7:$J$22,V$9,0),4)</f>
        <v>1.0253000000000001</v>
      </c>
      <c r="W17" s="232">
        <f>ROUND(VLOOKUP(MID($E17,4,3),'Wochentag F(WT)'!$B$7:$J$22,W$9,0),4)</f>
        <v>0.96750000000000003</v>
      </c>
      <c r="X17" s="233">
        <f t="shared" si="2"/>
        <v>0.89350000000000041</v>
      </c>
      <c r="Y17" s="250"/>
      <c r="Z17" s="171"/>
    </row>
    <row r="18" spans="2:26" s="116" customFormat="1">
      <c r="B18" s="117">
        <v>7</v>
      </c>
      <c r="C18" s="118" t="str">
        <f t="shared" si="0"/>
        <v>Dillingen/Saar</v>
      </c>
      <c r="D18" s="46" t="s">
        <v>248</v>
      </c>
      <c r="E18" s="137" t="s">
        <v>669</v>
      </c>
      <c r="F18" s="254" t="str">
        <f>VLOOKUP($E18,'BDEW-Standard'!$B$3:$M$94,F$9,0)</f>
        <v>BH4</v>
      </c>
      <c r="H18" s="229">
        <f>ROUND(VLOOKUP($E18,'BDEW-Standard'!$B$3:$M$94,H$9,0),7)</f>
        <v>2.4595180999999999</v>
      </c>
      <c r="I18" s="229">
        <f>ROUND(VLOOKUP($E18,'BDEW-Standard'!$B$3:$M$94,I$9,0),7)</f>
        <v>-35.253212400000002</v>
      </c>
      <c r="J18" s="229">
        <f>ROUND(VLOOKUP($E18,'BDEW-Standard'!$B$3:$M$94,J$9,0),7)</f>
        <v>6.0587001000000003</v>
      </c>
      <c r="K18" s="229">
        <f>ROUND(VLOOKUP($E18,'BDEW-Standard'!$B$3:$M$94,K$9,0),7)</f>
        <v>0.16473699999999999</v>
      </c>
      <c r="L18" s="230">
        <f>ROUND(VLOOKUP($E18,'BDEW-Standard'!$B$3:$M$94,L$9,0),1)</f>
        <v>40</v>
      </c>
      <c r="M18" s="229">
        <f>ROUND(VLOOKUP($E18,'BDEW-Standard'!$B$3:$M$94,M$9,0),7)</f>
        <v>0</v>
      </c>
      <c r="N18" s="229">
        <f>ROUND(VLOOKUP($E18,'BDEW-Standard'!$B$3:$M$94,N$9,0),7)</f>
        <v>0</v>
      </c>
      <c r="O18" s="229">
        <f>ROUND(VLOOKUP($E18,'BDEW-Standard'!$B$3:$M$94,O$9,0),7)</f>
        <v>0</v>
      </c>
      <c r="P18" s="229">
        <f>ROUND(VLOOKUP($E18,'BDEW-Standard'!$B$3:$M$94,P$9,0),7)</f>
        <v>0</v>
      </c>
      <c r="Q18" s="231">
        <f t="shared" si="1"/>
        <v>1.043802057143173</v>
      </c>
      <c r="R18" s="232">
        <f>ROUND(VLOOKUP(MID($E18,4,3),'Wochentag F(WT)'!$B$7:$J$22,R$9,0),4)</f>
        <v>0.97670000000000001</v>
      </c>
      <c r="S18" s="232">
        <f>ROUND(VLOOKUP(MID($E18,4,3),'Wochentag F(WT)'!$B$7:$J$22,S$9,0),4)</f>
        <v>1.0388999999999999</v>
      </c>
      <c r="T18" s="232">
        <f>ROUND(VLOOKUP(MID($E18,4,3),'Wochentag F(WT)'!$B$7:$J$22,T$9,0),4)</f>
        <v>1.0027999999999999</v>
      </c>
      <c r="U18" s="232">
        <f>ROUND(VLOOKUP(MID($E18,4,3),'Wochentag F(WT)'!$B$7:$J$22,U$9,0),4)</f>
        <v>1.0162</v>
      </c>
      <c r="V18" s="232">
        <f>ROUND(VLOOKUP(MID($E18,4,3),'Wochentag F(WT)'!$B$7:$J$22,V$9,0),4)</f>
        <v>1.0024</v>
      </c>
      <c r="W18" s="232">
        <f>ROUND(VLOOKUP(MID($E18,4,3),'Wochentag F(WT)'!$B$7:$J$22,W$9,0),4)</f>
        <v>1.0043</v>
      </c>
      <c r="X18" s="233">
        <f t="shared" si="2"/>
        <v>0.95870000000000122</v>
      </c>
      <c r="Y18" s="250"/>
      <c r="Z18" s="171"/>
    </row>
    <row r="19" spans="2:26" s="116" customFormat="1">
      <c r="B19" s="117">
        <v>8</v>
      </c>
      <c r="C19" s="118" t="str">
        <f t="shared" si="0"/>
        <v>Dillingen/Saar</v>
      </c>
      <c r="D19" s="46" t="s">
        <v>248</v>
      </c>
      <c r="E19" s="137" t="s">
        <v>670</v>
      </c>
      <c r="F19" s="254" t="str">
        <f>VLOOKUP($E19,'BDEW-Standard'!$B$3:$M$94,F$9,0)</f>
        <v>BA4</v>
      </c>
      <c r="H19" s="229">
        <f>ROUND(VLOOKUP($E19,'BDEW-Standard'!$B$3:$M$94,H$9,0),7)</f>
        <v>0.93158890000000005</v>
      </c>
      <c r="I19" s="229">
        <f>ROUND(VLOOKUP($E19,'BDEW-Standard'!$B$3:$M$94,I$9,0),7)</f>
        <v>-33.35</v>
      </c>
      <c r="J19" s="229">
        <f>ROUND(VLOOKUP($E19,'BDEW-Standard'!$B$3:$M$94,J$9,0),7)</f>
        <v>5.7212303000000002</v>
      </c>
      <c r="K19" s="229">
        <f>ROUND(VLOOKUP($E19,'BDEW-Standard'!$B$3:$M$94,K$9,0),7)</f>
        <v>0.66564939999999995</v>
      </c>
      <c r="L19" s="230">
        <f>ROUND(VLOOKUP($E19,'BDEW-Standard'!$B$3:$M$94,L$9,0),1)</f>
        <v>40</v>
      </c>
      <c r="M19" s="229">
        <f>ROUND(VLOOKUP($E19,'BDEW-Standard'!$B$3:$M$94,M$9,0),7)</f>
        <v>0</v>
      </c>
      <c r="N19" s="229">
        <f>ROUND(VLOOKUP($E19,'BDEW-Standard'!$B$3:$M$94,N$9,0),7)</f>
        <v>0</v>
      </c>
      <c r="O19" s="229">
        <f>ROUND(VLOOKUP($E19,'BDEW-Standard'!$B$3:$M$94,O$9,0),7)</f>
        <v>0</v>
      </c>
      <c r="P19" s="229">
        <f>ROUND(VLOOKUP($E19,'BDEW-Standard'!$B$3:$M$94,P$9,0),7)</f>
        <v>0</v>
      </c>
      <c r="Q19" s="231">
        <f t="shared" si="1"/>
        <v>1.0766391850538448</v>
      </c>
      <c r="R19" s="232">
        <f>ROUND(VLOOKUP(MID($E19,4,3),'Wochentag F(WT)'!$B$7:$J$22,R$9,0),4)</f>
        <v>1.0848</v>
      </c>
      <c r="S19" s="232">
        <f>ROUND(VLOOKUP(MID($E19,4,3),'Wochentag F(WT)'!$B$7:$J$22,S$9,0),4)</f>
        <v>1.1211</v>
      </c>
      <c r="T19" s="232">
        <f>ROUND(VLOOKUP(MID($E19,4,3),'Wochentag F(WT)'!$B$7:$J$22,T$9,0),4)</f>
        <v>1.0769</v>
      </c>
      <c r="U19" s="232">
        <f>ROUND(VLOOKUP(MID($E19,4,3),'Wochentag F(WT)'!$B$7:$J$22,U$9,0),4)</f>
        <v>1.1353</v>
      </c>
      <c r="V19" s="232">
        <f>ROUND(VLOOKUP(MID($E19,4,3),'Wochentag F(WT)'!$B$7:$J$22,V$9,0),4)</f>
        <v>1.1402000000000001</v>
      </c>
      <c r="W19" s="232">
        <f>ROUND(VLOOKUP(MID($E19,4,3),'Wochentag F(WT)'!$B$7:$J$22,W$9,0),4)</f>
        <v>0.48520000000000002</v>
      </c>
      <c r="X19" s="233">
        <f t="shared" si="2"/>
        <v>0.95650000000000013</v>
      </c>
      <c r="Y19" s="250"/>
      <c r="Z19" s="171"/>
    </row>
    <row r="20" spans="2:26" s="116" customFormat="1">
      <c r="B20" s="117">
        <v>9</v>
      </c>
      <c r="C20" s="118" t="str">
        <f t="shared" si="0"/>
        <v>Dillingen/Saar</v>
      </c>
      <c r="D20" s="46" t="s">
        <v>248</v>
      </c>
      <c r="E20" s="137" t="s">
        <v>671</v>
      </c>
      <c r="F20" s="254" t="str">
        <f>VLOOKUP($E20,'BDEW-Standard'!$B$3:$M$94,F$9,0)</f>
        <v>BD4</v>
      </c>
      <c r="H20" s="229">
        <f>ROUND(VLOOKUP($E20,'BDEW-Standard'!$B$3:$M$94,H$9,0),7)</f>
        <v>3.75</v>
      </c>
      <c r="I20" s="229">
        <f>ROUND(VLOOKUP($E20,'BDEW-Standard'!$B$3:$M$94,I$9,0),7)</f>
        <v>-37.5</v>
      </c>
      <c r="J20" s="229">
        <f>ROUND(VLOOKUP($E20,'BDEW-Standard'!$B$3:$M$94,J$9,0),7)</f>
        <v>6.8</v>
      </c>
      <c r="K20" s="229">
        <f>ROUND(VLOOKUP($E20,'BDEW-Standard'!$B$3:$M$94,K$9,0),7)</f>
        <v>6.0911300000000002E-2</v>
      </c>
      <c r="L20" s="230">
        <f>ROUND(VLOOKUP($E20,'BDEW-Standard'!$B$3:$M$94,L$9,0),1)</f>
        <v>40</v>
      </c>
      <c r="M20" s="229">
        <f>ROUND(VLOOKUP($E20,'BDEW-Standard'!$B$3:$M$94,M$9,0),7)</f>
        <v>0</v>
      </c>
      <c r="N20" s="229">
        <f>ROUND(VLOOKUP($E20,'BDEW-Standard'!$B$3:$M$94,N$9,0),7)</f>
        <v>0</v>
      </c>
      <c r="O20" s="229">
        <f>ROUND(VLOOKUP($E20,'BDEW-Standard'!$B$3:$M$94,O$9,0),7)</f>
        <v>0</v>
      </c>
      <c r="P20" s="229">
        <f>ROUND(VLOOKUP($E20,'BDEW-Standard'!$B$3:$M$94,P$9,0),7)</f>
        <v>0</v>
      </c>
      <c r="Q20" s="231">
        <f t="shared" si="1"/>
        <v>1.0126136468627658</v>
      </c>
      <c r="R20" s="232">
        <f>ROUND(VLOOKUP(MID($E20,4,3),'Wochentag F(WT)'!$B$7:$J$22,R$9,0),4)</f>
        <v>1.1052</v>
      </c>
      <c r="S20" s="232">
        <f>ROUND(VLOOKUP(MID($E20,4,3),'Wochentag F(WT)'!$B$7:$J$22,S$9,0),4)</f>
        <v>1.0857000000000001</v>
      </c>
      <c r="T20" s="232">
        <f>ROUND(VLOOKUP(MID($E20,4,3),'Wochentag F(WT)'!$B$7:$J$22,T$9,0),4)</f>
        <v>1.0378000000000001</v>
      </c>
      <c r="U20" s="232">
        <f>ROUND(VLOOKUP(MID($E20,4,3),'Wochentag F(WT)'!$B$7:$J$22,U$9,0),4)</f>
        <v>1.0622</v>
      </c>
      <c r="V20" s="232">
        <f>ROUND(VLOOKUP(MID($E20,4,3),'Wochentag F(WT)'!$B$7:$J$22,V$9,0),4)</f>
        <v>1.0266</v>
      </c>
      <c r="W20" s="232">
        <f>ROUND(VLOOKUP(MID($E20,4,3),'Wochentag F(WT)'!$B$7:$J$22,W$9,0),4)</f>
        <v>0.76290000000000002</v>
      </c>
      <c r="X20" s="233">
        <f t="shared" si="2"/>
        <v>0.91959999999999997</v>
      </c>
      <c r="Y20" s="250"/>
      <c r="Z20" s="171"/>
    </row>
    <row r="21" spans="2:26" s="116" customFormat="1">
      <c r="B21" s="117">
        <v>10</v>
      </c>
      <c r="C21" s="118" t="str">
        <f t="shared" si="0"/>
        <v>Dillingen/Saar</v>
      </c>
      <c r="D21" s="46" t="s">
        <v>248</v>
      </c>
      <c r="E21" s="137" t="s">
        <v>4</v>
      </c>
      <c r="F21" s="254" t="str">
        <f>VLOOKUP($E21,'BDEW-Standard'!$B$3:$M$94,F$9,0)</f>
        <v>HK3</v>
      </c>
      <c r="H21" s="229">
        <f>ROUND(VLOOKUP($E21,'BDEW-Standard'!$B$3:$M$94,H$9,0),7)</f>
        <v>0.40409319999999999</v>
      </c>
      <c r="I21" s="229">
        <f>ROUND(VLOOKUP($E21,'BDEW-Standard'!$B$3:$M$94,I$9,0),7)</f>
        <v>-24.439296800000001</v>
      </c>
      <c r="J21" s="229">
        <f>ROUND(VLOOKUP($E21,'BDEW-Standard'!$B$3:$M$94,J$9,0),7)</f>
        <v>6.5718174999999999</v>
      </c>
      <c r="K21" s="229">
        <f>ROUND(VLOOKUP($E21,'BDEW-Standard'!$B$3:$M$94,K$9,0),7)</f>
        <v>0.71077100000000004</v>
      </c>
      <c r="L21" s="230">
        <f>ROUND(VLOOKUP($E21,'BDEW-Standard'!$B$3:$M$94,L$9,0),1)</f>
        <v>40</v>
      </c>
      <c r="M21" s="229">
        <f>ROUND(VLOOKUP($E21,'BDEW-Standard'!$B$3:$M$94,M$9,0),7)</f>
        <v>0</v>
      </c>
      <c r="N21" s="229">
        <f>ROUND(VLOOKUP($E21,'BDEW-Standard'!$B$3:$M$94,N$9,0),7)</f>
        <v>0</v>
      </c>
      <c r="O21" s="229">
        <f>ROUND(VLOOKUP($E21,'BDEW-Standard'!$B$3:$M$94,O$9,0),7)</f>
        <v>0</v>
      </c>
      <c r="P21" s="229">
        <f>ROUND(VLOOKUP($E21,'BDEW-Standard'!$B$3:$M$94,P$9,0),7)</f>
        <v>0</v>
      </c>
      <c r="Q21" s="231">
        <f t="shared" si="1"/>
        <v>1.0561214000512988</v>
      </c>
      <c r="R21" s="232">
        <f>ROUND(VLOOKUP(MID($E21,4,3),'Wochentag F(WT)'!$B$7:$J$22,R$9,0),4)</f>
        <v>1</v>
      </c>
      <c r="S21" s="232">
        <f>ROUND(VLOOKUP(MID($E21,4,3),'Wochentag F(WT)'!$B$7:$J$22,S$9,0),4)</f>
        <v>1</v>
      </c>
      <c r="T21" s="232">
        <f>ROUND(VLOOKUP(MID($E21,4,3),'Wochentag F(WT)'!$B$7:$J$22,T$9,0),4)</f>
        <v>1</v>
      </c>
      <c r="U21" s="232">
        <f>ROUND(VLOOKUP(MID($E21,4,3),'Wochentag F(WT)'!$B$7:$J$22,U$9,0),4)</f>
        <v>1</v>
      </c>
      <c r="V21" s="232">
        <f>ROUND(VLOOKUP(MID($E21,4,3),'Wochentag F(WT)'!$B$7:$J$22,V$9,0),4)</f>
        <v>1</v>
      </c>
      <c r="W21" s="232">
        <f>ROUND(VLOOKUP(MID($E21,4,3),'Wochentag F(WT)'!$B$7:$J$22,W$9,0),4)</f>
        <v>1</v>
      </c>
      <c r="X21" s="233">
        <f t="shared" si="2"/>
        <v>1</v>
      </c>
      <c r="Y21" s="250"/>
      <c r="Z21" s="171"/>
    </row>
    <row r="22" spans="2:26" s="116" customFormat="1">
      <c r="B22" s="117">
        <v>11</v>
      </c>
      <c r="C22" s="118" t="str">
        <f t="shared" si="0"/>
        <v>Dillingen/Saar</v>
      </c>
      <c r="D22" s="46" t="s">
        <v>248</v>
      </c>
      <c r="E22" s="137" t="s">
        <v>672</v>
      </c>
      <c r="F22" s="254" t="str">
        <f>VLOOKUP($E22,'BDEW-Standard'!$B$3:$M$94,F$9,0)</f>
        <v>GA4</v>
      </c>
      <c r="H22" s="229">
        <f>ROUND(VLOOKUP($E22,'BDEW-Standard'!$B$3:$M$94,H$9,0),7)</f>
        <v>2.8195655999999998</v>
      </c>
      <c r="I22" s="229">
        <f>ROUND(VLOOKUP($E22,'BDEW-Standard'!$B$3:$M$94,I$9,0),7)</f>
        <v>-36</v>
      </c>
      <c r="J22" s="229">
        <f>ROUND(VLOOKUP($E22,'BDEW-Standard'!$B$3:$M$94,J$9,0),7)</f>
        <v>7.7368518000000002</v>
      </c>
      <c r="K22" s="229">
        <f>ROUND(VLOOKUP($E22,'BDEW-Standard'!$B$3:$M$94,K$9,0),7)</f>
        <v>0.157281</v>
      </c>
      <c r="L22" s="230">
        <f>ROUND(VLOOKUP($E22,'BDEW-Standard'!$B$3:$M$94,L$9,0),1)</f>
        <v>40</v>
      </c>
      <c r="M22" s="229">
        <f>ROUND(VLOOKUP($E22,'BDEW-Standard'!$B$3:$M$94,M$9,0),7)</f>
        <v>0</v>
      </c>
      <c r="N22" s="229">
        <f>ROUND(VLOOKUP($E22,'BDEW-Standard'!$B$3:$M$94,N$9,0),7)</f>
        <v>0</v>
      </c>
      <c r="O22" s="229">
        <f>ROUND(VLOOKUP($E22,'BDEW-Standard'!$B$3:$M$94,O$9,0),7)</f>
        <v>0</v>
      </c>
      <c r="P22" s="229">
        <f>ROUND(VLOOKUP($E22,'BDEW-Standard'!$B$3:$M$94,P$9,0),7)</f>
        <v>0</v>
      </c>
      <c r="Q22" s="231">
        <f t="shared" si="1"/>
        <v>0.96576337685759206</v>
      </c>
      <c r="R22" s="232">
        <f>ROUND(VLOOKUP(MID($E22,4,3),'Wochentag F(WT)'!$B$7:$J$22,R$9,0),4)</f>
        <v>0.93220000000000003</v>
      </c>
      <c r="S22" s="232">
        <f>ROUND(VLOOKUP(MID($E22,4,3),'Wochentag F(WT)'!$B$7:$J$22,S$9,0),4)</f>
        <v>0.98939999999999995</v>
      </c>
      <c r="T22" s="232">
        <f>ROUND(VLOOKUP(MID($E22,4,3),'Wochentag F(WT)'!$B$7:$J$22,T$9,0),4)</f>
        <v>1.0033000000000001</v>
      </c>
      <c r="U22" s="232">
        <f>ROUND(VLOOKUP(MID($E22,4,3),'Wochentag F(WT)'!$B$7:$J$22,U$9,0),4)</f>
        <v>1.0108999999999999</v>
      </c>
      <c r="V22" s="232">
        <f>ROUND(VLOOKUP(MID($E22,4,3),'Wochentag F(WT)'!$B$7:$J$22,V$9,0),4)</f>
        <v>1.018</v>
      </c>
      <c r="W22" s="232">
        <f>ROUND(VLOOKUP(MID($E22,4,3),'Wochentag F(WT)'!$B$7:$J$22,W$9,0),4)</f>
        <v>1.0356000000000001</v>
      </c>
      <c r="X22" s="233">
        <f t="shared" si="2"/>
        <v>1.0106000000000002</v>
      </c>
      <c r="Y22" s="250"/>
      <c r="Z22" s="171"/>
    </row>
    <row r="23" spans="2:26" s="116" customFormat="1">
      <c r="B23" s="117">
        <v>12</v>
      </c>
      <c r="C23" s="118" t="str">
        <f t="shared" si="0"/>
        <v>Dillingen/Saar</v>
      </c>
      <c r="D23" s="46" t="s">
        <v>248</v>
      </c>
      <c r="E23" s="137" t="s">
        <v>673</v>
      </c>
      <c r="F23" s="254" t="str">
        <f>VLOOKUP($E23,'BDEW-Standard'!$B$3:$M$94,F$9,0)</f>
        <v>GB4</v>
      </c>
      <c r="H23" s="229">
        <f>ROUND(VLOOKUP($E23,'BDEW-Standard'!$B$3:$M$94,H$9,0),7)</f>
        <v>3.6017736</v>
      </c>
      <c r="I23" s="229">
        <f>ROUND(VLOOKUP($E23,'BDEW-Standard'!$B$3:$M$94,I$9,0),7)</f>
        <v>-37.882536799999997</v>
      </c>
      <c r="J23" s="229">
        <f>ROUND(VLOOKUP($E23,'BDEW-Standard'!$B$3:$M$94,J$9,0),7)</f>
        <v>6.9836070000000001</v>
      </c>
      <c r="K23" s="229">
        <f>ROUND(VLOOKUP($E23,'BDEW-Standard'!$B$3:$M$94,K$9,0),7)</f>
        <v>5.4826199999999999E-2</v>
      </c>
      <c r="L23" s="230">
        <f>ROUND(VLOOKUP($E23,'BDEW-Standard'!$B$3:$M$94,L$9,0),1)</f>
        <v>40</v>
      </c>
      <c r="M23" s="229">
        <f>ROUND(VLOOKUP($E23,'BDEW-Standard'!$B$3:$M$94,M$9,0),7)</f>
        <v>0</v>
      </c>
      <c r="N23" s="229">
        <f>ROUND(VLOOKUP($E23,'BDEW-Standard'!$B$3:$M$94,N$9,0),7)</f>
        <v>0</v>
      </c>
      <c r="O23" s="229">
        <f>ROUND(VLOOKUP($E23,'BDEW-Standard'!$B$3:$M$94,O$9,0),7)</f>
        <v>0</v>
      </c>
      <c r="P23" s="229">
        <f>ROUND(VLOOKUP($E23,'BDEW-Standard'!$B$3:$M$94,P$9,0),7)</f>
        <v>0</v>
      </c>
      <c r="Q23" s="231">
        <f t="shared" si="1"/>
        <v>0.90239375975311864</v>
      </c>
      <c r="R23" s="232">
        <f>ROUND(VLOOKUP(MID($E23,4,3),'Wochentag F(WT)'!$B$7:$J$22,R$9,0),4)</f>
        <v>0.98970000000000002</v>
      </c>
      <c r="S23" s="232">
        <f>ROUND(VLOOKUP(MID($E23,4,3),'Wochentag F(WT)'!$B$7:$J$22,S$9,0),4)</f>
        <v>0.9627</v>
      </c>
      <c r="T23" s="232">
        <f>ROUND(VLOOKUP(MID($E23,4,3),'Wochentag F(WT)'!$B$7:$J$22,T$9,0),4)</f>
        <v>1.0507</v>
      </c>
      <c r="U23" s="232">
        <f>ROUND(VLOOKUP(MID($E23,4,3),'Wochentag F(WT)'!$B$7:$J$22,U$9,0),4)</f>
        <v>1.0551999999999999</v>
      </c>
      <c r="V23" s="232">
        <f>ROUND(VLOOKUP(MID($E23,4,3),'Wochentag F(WT)'!$B$7:$J$22,V$9,0),4)</f>
        <v>1.0297000000000001</v>
      </c>
      <c r="W23" s="232">
        <f>ROUND(VLOOKUP(MID($E23,4,3),'Wochentag F(WT)'!$B$7:$J$22,W$9,0),4)</f>
        <v>0.97670000000000001</v>
      </c>
      <c r="X23" s="233">
        <f t="shared" si="2"/>
        <v>0.9352999999999998</v>
      </c>
      <c r="Y23" s="250"/>
      <c r="Z23" s="171"/>
    </row>
    <row r="24" spans="2:26" s="116" customFormat="1">
      <c r="B24" s="117">
        <v>13</v>
      </c>
      <c r="C24" s="118" t="str">
        <f t="shared" si="0"/>
        <v>Dillingen/Saar</v>
      </c>
      <c r="D24" s="46" t="s">
        <v>248</v>
      </c>
      <c r="E24" s="137" t="s">
        <v>674</v>
      </c>
      <c r="F24" s="254" t="str">
        <f>VLOOKUP($E24,'BDEW-Standard'!$B$3:$M$94,F$9,0)</f>
        <v>MF4</v>
      </c>
      <c r="H24" s="229">
        <f>ROUND(VLOOKUP($E24,'BDEW-Standard'!$B$3:$M$94,H$9,0),7)</f>
        <v>2.5187775000000001</v>
      </c>
      <c r="I24" s="229">
        <f>ROUND(VLOOKUP($E24,'BDEW-Standard'!$B$3:$M$94,I$9,0),7)</f>
        <v>-35.033375399999997</v>
      </c>
      <c r="J24" s="229">
        <f>ROUND(VLOOKUP($E24,'BDEW-Standard'!$B$3:$M$94,J$9,0),7)</f>
        <v>6.2240634000000004</v>
      </c>
      <c r="K24" s="229">
        <f>ROUND(VLOOKUP($E24,'BDEW-Standard'!$B$3:$M$94,K$9,0),7)</f>
        <v>0.10107820000000001</v>
      </c>
      <c r="L24" s="230">
        <f>ROUND(VLOOKUP($E24,'BDEW-Standard'!$B$3:$M$94,L$9,0),1)</f>
        <v>40</v>
      </c>
      <c r="M24" s="229">
        <f>ROUND(VLOOKUP($E24,'BDEW-Standard'!$B$3:$M$94,M$9,0),7)</f>
        <v>0</v>
      </c>
      <c r="N24" s="229">
        <f>ROUND(VLOOKUP($E24,'BDEW-Standard'!$B$3:$M$94,N$9,0),7)</f>
        <v>0</v>
      </c>
      <c r="O24" s="229">
        <f>ROUND(VLOOKUP($E24,'BDEW-Standard'!$B$3:$M$94,O$9,0),7)</f>
        <v>0</v>
      </c>
      <c r="P24" s="229">
        <f>ROUND(VLOOKUP($E24,'BDEW-Standard'!$B$3:$M$94,P$9,0),7)</f>
        <v>0</v>
      </c>
      <c r="Q24" s="231">
        <f t="shared" si="1"/>
        <v>1.0146273685996503</v>
      </c>
      <c r="R24" s="232">
        <f>ROUND(VLOOKUP(MID($E24,4,3),'Wochentag F(WT)'!$B$7:$J$22,R$9,0),4)</f>
        <v>1.0354000000000001</v>
      </c>
      <c r="S24" s="232">
        <f>ROUND(VLOOKUP(MID($E24,4,3),'Wochentag F(WT)'!$B$7:$J$22,S$9,0),4)</f>
        <v>1.0523</v>
      </c>
      <c r="T24" s="232">
        <f>ROUND(VLOOKUP(MID($E24,4,3),'Wochentag F(WT)'!$B$7:$J$22,T$9,0),4)</f>
        <v>1.0448999999999999</v>
      </c>
      <c r="U24" s="232">
        <f>ROUND(VLOOKUP(MID($E24,4,3),'Wochentag F(WT)'!$B$7:$J$22,U$9,0),4)</f>
        <v>1.0494000000000001</v>
      </c>
      <c r="V24" s="232">
        <f>ROUND(VLOOKUP(MID($E24,4,3),'Wochentag F(WT)'!$B$7:$J$22,V$9,0),4)</f>
        <v>0.98850000000000005</v>
      </c>
      <c r="W24" s="232">
        <f>ROUND(VLOOKUP(MID($E24,4,3),'Wochentag F(WT)'!$B$7:$J$22,W$9,0),4)</f>
        <v>0.88600000000000001</v>
      </c>
      <c r="X24" s="233">
        <f t="shared" si="2"/>
        <v>0.94349999999999934</v>
      </c>
      <c r="Y24" s="250"/>
      <c r="Z24" s="171"/>
    </row>
    <row r="25" spans="2:26" s="116" customFormat="1">
      <c r="B25" s="117">
        <v>14</v>
      </c>
      <c r="C25" s="118" t="str">
        <f t="shared" si="0"/>
        <v>Dillingen/Saar</v>
      </c>
      <c r="D25" s="46" t="s">
        <v>248</v>
      </c>
      <c r="E25" s="137" t="s">
        <v>675</v>
      </c>
      <c r="F25" s="254" t="str">
        <f>VLOOKUP($E25,'BDEW-Standard'!$B$3:$M$94,F$9,0)</f>
        <v>HD4</v>
      </c>
      <c r="H25" s="229">
        <f>ROUND(VLOOKUP($E25,'BDEW-Standard'!$B$3:$M$94,H$9,0),7)</f>
        <v>3.0084346000000002</v>
      </c>
      <c r="I25" s="229">
        <f>ROUND(VLOOKUP($E25,'BDEW-Standard'!$B$3:$M$94,I$9,0),7)</f>
        <v>-36.607845300000001</v>
      </c>
      <c r="J25" s="229">
        <f>ROUND(VLOOKUP($E25,'BDEW-Standard'!$B$3:$M$94,J$9,0),7)</f>
        <v>7.3211870000000001</v>
      </c>
      <c r="K25" s="229">
        <f>ROUND(VLOOKUP($E25,'BDEW-Standard'!$B$3:$M$94,K$9,0),7)</f>
        <v>0.15496599999999999</v>
      </c>
      <c r="L25" s="230">
        <f>ROUND(VLOOKUP($E25,'BDEW-Standard'!$B$3:$M$94,L$9,0),1)</f>
        <v>40</v>
      </c>
      <c r="M25" s="229">
        <f>ROUND(VLOOKUP($E25,'BDEW-Standard'!$B$3:$M$94,M$9,0),7)</f>
        <v>0</v>
      </c>
      <c r="N25" s="229">
        <f>ROUND(VLOOKUP($E25,'BDEW-Standard'!$B$3:$M$94,N$9,0),7)</f>
        <v>0</v>
      </c>
      <c r="O25" s="229">
        <f>ROUND(VLOOKUP($E25,'BDEW-Standard'!$B$3:$M$94,O$9,0),7)</f>
        <v>0</v>
      </c>
      <c r="P25" s="229">
        <f>ROUND(VLOOKUP($E25,'BDEW-Standard'!$B$3:$M$94,P$9,0),7)</f>
        <v>0</v>
      </c>
      <c r="Q25" s="231">
        <f t="shared" si="1"/>
        <v>0.97302438504000599</v>
      </c>
      <c r="R25" s="232">
        <f>ROUND(VLOOKUP(MID($E25,4,3),'Wochentag F(WT)'!$B$7:$J$22,R$9,0),4)</f>
        <v>1.03</v>
      </c>
      <c r="S25" s="232">
        <f>ROUND(VLOOKUP(MID($E25,4,3),'Wochentag F(WT)'!$B$7:$J$22,S$9,0),4)</f>
        <v>1.03</v>
      </c>
      <c r="T25" s="232">
        <f>ROUND(VLOOKUP(MID($E25,4,3),'Wochentag F(WT)'!$B$7:$J$22,T$9,0),4)</f>
        <v>1.02</v>
      </c>
      <c r="U25" s="232">
        <f>ROUND(VLOOKUP(MID($E25,4,3),'Wochentag F(WT)'!$B$7:$J$22,U$9,0),4)</f>
        <v>1.03</v>
      </c>
      <c r="V25" s="232">
        <f>ROUND(VLOOKUP(MID($E25,4,3),'Wochentag F(WT)'!$B$7:$J$22,V$9,0),4)</f>
        <v>1.01</v>
      </c>
      <c r="W25" s="232">
        <f>ROUND(VLOOKUP(MID($E25,4,3),'Wochentag F(WT)'!$B$7:$J$22,W$9,0),4)</f>
        <v>0.93</v>
      </c>
      <c r="X25" s="233">
        <f t="shared" si="2"/>
        <v>0.95000000000000018</v>
      </c>
      <c r="Y25" s="250"/>
      <c r="Z25" s="171"/>
    </row>
    <row r="26" spans="2:26" s="116" customFormat="1">
      <c r="B26" s="117">
        <v>15</v>
      </c>
      <c r="C26" s="118" t="str">
        <f t="shared" si="0"/>
        <v>Dillingen/Saar</v>
      </c>
      <c r="D26" s="46" t="s">
        <v>248</v>
      </c>
      <c r="E26" s="137" t="s">
        <v>676</v>
      </c>
      <c r="F26" s="254" t="str">
        <f>VLOOKUP($E26,'BDEW-Standard'!$B$3:$M$94,F$9,0)</f>
        <v>WA4</v>
      </c>
      <c r="H26" s="229">
        <f>ROUND(VLOOKUP($E26,'BDEW-Standard'!$B$3:$M$94,H$9,0),7)</f>
        <v>1.0535874999999999</v>
      </c>
      <c r="I26" s="229">
        <f>ROUND(VLOOKUP($E26,'BDEW-Standard'!$B$3:$M$94,I$9,0),7)</f>
        <v>-35.299999999999997</v>
      </c>
      <c r="J26" s="229">
        <f>ROUND(VLOOKUP($E26,'BDEW-Standard'!$B$3:$M$94,J$9,0),7)</f>
        <v>4.8662747</v>
      </c>
      <c r="K26" s="229">
        <f>ROUND(VLOOKUP($E26,'BDEW-Standard'!$B$3:$M$94,K$9,0),7)</f>
        <v>0.68110420000000005</v>
      </c>
      <c r="L26" s="230">
        <f>ROUND(VLOOKUP($E26,'BDEW-Standard'!$B$3:$M$94,L$9,0),1)</f>
        <v>40</v>
      </c>
      <c r="M26" s="229">
        <f>ROUND(VLOOKUP($E26,'BDEW-Standard'!$B$3:$M$94,M$9,0),7)</f>
        <v>0</v>
      </c>
      <c r="N26" s="229">
        <f>ROUND(VLOOKUP($E26,'BDEW-Standard'!$B$3:$M$94,N$9,0),7)</f>
        <v>0</v>
      </c>
      <c r="O26" s="229">
        <f>ROUND(VLOOKUP($E26,'BDEW-Standard'!$B$3:$M$94,O$9,0),7)</f>
        <v>0</v>
      </c>
      <c r="P26" s="229">
        <f>ROUND(VLOOKUP($E26,'BDEW-Standard'!$B$3:$M$94,P$9,0),7)</f>
        <v>0</v>
      </c>
      <c r="Q26" s="231">
        <f t="shared" si="1"/>
        <v>1.0844348950990992</v>
      </c>
      <c r="R26" s="232">
        <f>ROUND(VLOOKUP(MID($E26,4,3),'Wochentag F(WT)'!$B$7:$J$22,R$9,0),4)</f>
        <v>1.2457</v>
      </c>
      <c r="S26" s="232">
        <f>ROUND(VLOOKUP(MID($E26,4,3),'Wochentag F(WT)'!$B$7:$J$22,S$9,0),4)</f>
        <v>1.2615000000000001</v>
      </c>
      <c r="T26" s="232">
        <f>ROUND(VLOOKUP(MID($E26,4,3),'Wochentag F(WT)'!$B$7:$J$22,T$9,0),4)</f>
        <v>1.2706999999999999</v>
      </c>
      <c r="U26" s="232">
        <f>ROUND(VLOOKUP(MID($E26,4,3),'Wochentag F(WT)'!$B$7:$J$22,U$9,0),4)</f>
        <v>1.2430000000000001</v>
      </c>
      <c r="V26" s="232">
        <f>ROUND(VLOOKUP(MID($E26,4,3),'Wochentag F(WT)'!$B$7:$J$22,V$9,0),4)</f>
        <v>1.1275999999999999</v>
      </c>
      <c r="W26" s="232">
        <f>ROUND(VLOOKUP(MID($E26,4,3),'Wochentag F(WT)'!$B$7:$J$22,W$9,0),4)</f>
        <v>0.38769999999999999</v>
      </c>
      <c r="X26" s="233">
        <f t="shared" si="2"/>
        <v>0.46379999999999999</v>
      </c>
      <c r="Y26" s="250"/>
      <c r="Z26" s="171"/>
    </row>
    <row r="27" spans="2:26" s="116" customFormat="1">
      <c r="B27" s="117">
        <v>16</v>
      </c>
      <c r="C27" s="118" t="str">
        <f t="shared" si="0"/>
        <v>Dillingen/Saar</v>
      </c>
      <c r="D27" s="46"/>
      <c r="E27" s="137"/>
      <c r="F27" s="254"/>
      <c r="H27" s="234"/>
      <c r="I27" s="234"/>
      <c r="J27" s="234"/>
      <c r="K27" s="234"/>
      <c r="L27" s="230"/>
      <c r="M27" s="234"/>
      <c r="N27" s="234"/>
      <c r="O27" s="234"/>
      <c r="P27" s="234"/>
      <c r="Q27" s="235"/>
      <c r="R27" s="236"/>
      <c r="S27" s="236"/>
      <c r="T27" s="236"/>
      <c r="U27" s="236"/>
      <c r="V27" s="236"/>
      <c r="W27" s="236"/>
      <c r="X27" s="237"/>
      <c r="Y27" s="250"/>
    </row>
    <row r="28" spans="2:26" s="116" customFormat="1">
      <c r="B28" s="117">
        <v>17</v>
      </c>
      <c r="C28" s="118" t="str">
        <f t="shared" si="0"/>
        <v>Dillingen/Saar</v>
      </c>
      <c r="D28" s="46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>
      <c r="B29" s="117">
        <v>18</v>
      </c>
      <c r="C29" s="118" t="str">
        <f t="shared" si="0"/>
        <v>Dillingen/Saar</v>
      </c>
      <c r="D29" s="46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>
      <c r="B30" s="117">
        <v>19</v>
      </c>
      <c r="C30" s="118" t="str">
        <f t="shared" si="0"/>
        <v>Dillingen/Saar</v>
      </c>
      <c r="D30" s="46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>
      <c r="B31" s="117">
        <v>20</v>
      </c>
      <c r="C31" s="118" t="str">
        <f t="shared" si="0"/>
        <v>Dillingen/Saar</v>
      </c>
      <c r="D31" s="46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>
      <c r="B32" s="117">
        <v>21</v>
      </c>
      <c r="C32" s="118" t="str">
        <f t="shared" si="0"/>
        <v>Dillingen/Saar</v>
      </c>
      <c r="D32" s="46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>
      <c r="B33" s="117">
        <v>22</v>
      </c>
      <c r="C33" s="118" t="str">
        <f t="shared" si="0"/>
        <v>Dillingen/Saar</v>
      </c>
      <c r="D33" s="46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>
      <c r="B34" s="117">
        <v>23</v>
      </c>
      <c r="C34" s="118" t="str">
        <f t="shared" si="0"/>
        <v>Dillingen/Saar</v>
      </c>
      <c r="D34" s="46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>
      <c r="B35" s="117">
        <v>24</v>
      </c>
      <c r="C35" s="118" t="str">
        <f t="shared" si="0"/>
        <v>Dillingen/Saar</v>
      </c>
      <c r="D35" s="46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>
      <c r="B36" s="117">
        <v>25</v>
      </c>
      <c r="C36" s="118" t="str">
        <f t="shared" si="0"/>
        <v>Dillingen/Saar</v>
      </c>
      <c r="D36" s="46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>
      <c r="B37" s="117">
        <v>26</v>
      </c>
      <c r="C37" s="118" t="str">
        <f t="shared" si="0"/>
        <v>Dillingen/Saar</v>
      </c>
      <c r="D37" s="46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>
      <c r="B38" s="117">
        <v>27</v>
      </c>
      <c r="C38" s="118" t="str">
        <f t="shared" si="0"/>
        <v>Dillingen/Saar</v>
      </c>
      <c r="D38" s="46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>
      <c r="B39" s="117">
        <v>28</v>
      </c>
      <c r="C39" s="118" t="str">
        <f t="shared" si="0"/>
        <v>Dillingen/Saar</v>
      </c>
      <c r="D39" s="46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>
      <c r="B40" s="117">
        <v>29</v>
      </c>
      <c r="C40" s="118" t="str">
        <f t="shared" si="0"/>
        <v>Dillingen/Saar</v>
      </c>
      <c r="D40" s="46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>
      <c r="B41" s="117">
        <v>30</v>
      </c>
      <c r="C41" s="118" t="str">
        <f t="shared" si="0"/>
        <v>Dillingen/Saar</v>
      </c>
      <c r="D41" s="46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 H11:Y11 H14:Y41 F14:F41">
    <cfRule type="expression" dxfId="18" priority="19">
      <formula>ISERROR(F11)</formula>
    </cfRule>
  </conditionalFormatting>
  <conditionalFormatting sqref="E14:F41 Y14:Y41">
    <cfRule type="duplicateValues" dxfId="17" priority="41"/>
  </conditionalFormatting>
  <conditionalFormatting sqref="H12:Y12 F12">
    <cfRule type="expression" dxfId="16" priority="7">
      <formula>ISERROR(F12)</formula>
    </cfRule>
  </conditionalFormatting>
  <conditionalFormatting sqref="E12:F12 Y12">
    <cfRule type="duplicateValues" dxfId="15" priority="9"/>
  </conditionalFormatting>
  <conditionalFormatting sqref="H13:Y13 F13">
    <cfRule type="expression" dxfId="14" priority="2">
      <formula>ISERROR(F13)</formula>
    </cfRule>
  </conditionalFormatting>
  <conditionalFormatting sqref="E13:F13 Y13">
    <cfRule type="duplicateValues" dxfId="13" priority="4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D14:D41</xm:sqref>
        </x14:conditionalFormatting>
        <x14:conditionalFormatting xmlns:xm="http://schemas.microsoft.com/office/excel/2006/main">
          <x14:cfRule type="cellIs" priority="1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 Y14:Y41</xm:sqref>
        </x14:conditionalFormatting>
        <x14:conditionalFormatting xmlns:xm="http://schemas.microsoft.com/office/excel/2006/main">
          <x14:cfRule type="expression" priority="8" id="{D718C553-673E-4068-98AA-50D91BAB3AE9}">
            <xm:f>D12&lt;&gt;IF(ISERROR(VLOOKUP($E12,'BDEW-Standard'!$B$3:$M$158,1,0)),"Ind.-Koef.","BDEW")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6" id="{2B7986DA-6F4B-4BF1-B26B-ED008DA91BA3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Y12</xm:sqref>
        </x14:conditionalFormatting>
        <x14:conditionalFormatting xmlns:xm="http://schemas.microsoft.com/office/excel/2006/main">
          <x14:cfRule type="expression" priority="3" id="{3ABC4D26-F274-4C44-ACBC-59664C066EF8}">
            <xm:f>D13&lt;&gt;IF(ISERROR(VLOOKUP($E13,'BDEW-Standard'!$B$3:$M$158,1,0)),"Ind.-Koef.","BDEW")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" id="{012066B6-004E-4ABC-BF82-83ACBF437D87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E11:E13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E14:E26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4">
        <v>42173</v>
      </c>
      <c r="D1" s="8" t="s">
        <v>451</v>
      </c>
      <c r="F1" s="175" t="s">
        <v>544</v>
      </c>
      <c r="N1" s="11"/>
    </row>
    <row r="2" spans="1:14" ht="25.5">
      <c r="A2" s="176" t="s">
        <v>268</v>
      </c>
      <c r="B2" s="177" t="s">
        <v>146</v>
      </c>
      <c r="C2" s="178" t="s">
        <v>148</v>
      </c>
      <c r="D2" s="179" t="s">
        <v>149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70</v>
      </c>
      <c r="J2" s="180" t="s">
        <v>150</v>
      </c>
      <c r="K2" s="180" t="s">
        <v>151</v>
      </c>
      <c r="L2" s="180" t="s">
        <v>152</v>
      </c>
      <c r="M2" s="182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153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154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155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156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157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158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159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160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161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162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246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163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164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165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166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167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168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169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170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171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172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173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174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175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176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177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178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179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180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181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182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183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184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185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186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187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188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189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190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191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192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193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194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195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196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197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198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199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200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201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202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203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204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205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206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207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208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209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210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211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212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213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214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215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216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217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218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219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220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221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222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223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224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225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226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227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228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229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230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231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232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233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234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235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236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237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238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239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240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241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242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.7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243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M11" sqref="M11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Stadtwerke Dillingen/Saar Netzgesellschaft mbH</v>
      </c>
      <c r="D4" s="58"/>
      <c r="G4" s="58"/>
      <c r="I4" s="58"/>
      <c r="J4" s="59"/>
      <c r="M4" s="67" t="s">
        <v>538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Dillingen/Saar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>
        <f>Netzbetreiber!$D$11</f>
        <v>9870088600002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44470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0" t="s">
        <v>455</v>
      </c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2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5" t="s">
        <v>582</v>
      </c>
      <c r="C10" s="296"/>
      <c r="D10" s="73">
        <v>2</v>
      </c>
      <c r="E10" s="74" t="str">
        <f>IF(ISERROR(HLOOKUP(E$11,$M$9:$AD$35,$D10,0)),"",HLOOKUP(E$11,$M$9:$AD$35,$D10,0))</f>
        <v/>
      </c>
      <c r="F10" s="293" t="s">
        <v>395</v>
      </c>
      <c r="G10" s="293"/>
      <c r="H10" s="293"/>
      <c r="I10" s="293"/>
      <c r="J10" s="293"/>
      <c r="K10" s="293"/>
      <c r="L10" s="294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1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0">
        <f>MIN(SUMPRODUCT($M$11:$AD$11,M12:AD12),1)</f>
        <v>1</v>
      </c>
      <c r="F12" s="257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1">
        <f t="shared" ref="E13:E35" si="0">MIN(SUMPRODUCT($M$11:$AD$11,M13:AD13),1)</f>
        <v>0</v>
      </c>
      <c r="F13" s="258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1">
        <f t="shared" si="0"/>
        <v>0</v>
      </c>
      <c r="F14" s="258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1">
        <f t="shared" si="0"/>
        <v>0</v>
      </c>
      <c r="F15" s="258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1">
        <f t="shared" si="0"/>
        <v>1</v>
      </c>
      <c r="F16" s="258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1">
        <f t="shared" si="0"/>
        <v>1</v>
      </c>
      <c r="F17" s="258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1">
        <f t="shared" si="0"/>
        <v>1</v>
      </c>
      <c r="F18" s="258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650</v>
      </c>
      <c r="C19" s="96"/>
      <c r="D19" s="90"/>
      <c r="E19" s="261">
        <v>1</v>
      </c>
      <c r="F19" s="258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1">
        <f t="shared" si="0"/>
        <v>1</v>
      </c>
      <c r="F20" s="258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648</v>
      </c>
      <c r="C21" s="96"/>
      <c r="D21" s="90">
        <v>12</v>
      </c>
      <c r="E21" s="261">
        <f t="shared" si="0"/>
        <v>1</v>
      </c>
      <c r="F21" s="258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1">
        <f t="shared" si="0"/>
        <v>1</v>
      </c>
      <c r="F22" s="258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1">
        <f t="shared" si="0"/>
        <v>1</v>
      </c>
      <c r="F23" s="258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1">
        <f t="shared" si="0"/>
        <v>1</v>
      </c>
      <c r="F24" s="258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1">
        <f t="shared" si="0"/>
        <v>0</v>
      </c>
      <c r="F25" s="258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1">
        <f t="shared" si="0"/>
        <v>1</v>
      </c>
      <c r="F26" s="258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649</v>
      </c>
      <c r="C27" s="96"/>
      <c r="D27" s="90"/>
      <c r="E27" s="261">
        <v>1</v>
      </c>
      <c r="F27" s="258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1">
        <f t="shared" si="0"/>
        <v>1</v>
      </c>
      <c r="F28" s="258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1">
        <v>1</v>
      </c>
      <c r="F29" s="258" t="s">
        <v>392</v>
      </c>
      <c r="G29" s="258" t="s">
        <v>392</v>
      </c>
      <c r="H29" s="258" t="s">
        <v>392</v>
      </c>
      <c r="I29" s="258" t="s">
        <v>392</v>
      </c>
      <c r="J29" s="258" t="s">
        <v>392</v>
      </c>
      <c r="K29" s="258" t="s">
        <v>392</v>
      </c>
      <c r="L29" s="258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1">
        <f t="shared" si="0"/>
        <v>1</v>
      </c>
      <c r="F30" s="258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1">
        <f t="shared" si="0"/>
        <v>0</v>
      </c>
      <c r="F31" s="258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1">
        <f t="shared" si="0"/>
        <v>0</v>
      </c>
      <c r="F32" s="258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1">
        <f t="shared" si="0"/>
        <v>1</v>
      </c>
      <c r="F33" s="258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1">
        <f t="shared" si="0"/>
        <v>1</v>
      </c>
      <c r="F34" s="258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2">
        <f t="shared" si="0"/>
        <v>0</v>
      </c>
      <c r="F35" s="259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>
      <c r="A1" s="8" t="s">
        <v>452</v>
      </c>
      <c r="B1"/>
      <c r="D1" s="175" t="s">
        <v>544</v>
      </c>
      <c r="O1" s="192"/>
    </row>
    <row r="2" spans="1:16">
      <c r="A2" s="192"/>
      <c r="B2" s="192" t="s">
        <v>453</v>
      </c>
    </row>
    <row r="3" spans="1:16" ht="20.100000000000001" customHeight="1">
      <c r="A3" s="297" t="s">
        <v>249</v>
      </c>
      <c r="B3" s="193" t="s">
        <v>86</v>
      </c>
      <c r="C3" s="194"/>
      <c r="D3" s="299" t="s">
        <v>454</v>
      </c>
      <c r="E3" s="300"/>
      <c r="F3" s="300"/>
      <c r="G3" s="300"/>
      <c r="H3" s="300"/>
      <c r="I3" s="300"/>
      <c r="J3" s="301"/>
      <c r="K3" s="195"/>
      <c r="L3" s="195"/>
      <c r="M3" s="195"/>
      <c r="N3" s="195"/>
      <c r="O3" s="152"/>
      <c r="P3" s="195"/>
    </row>
    <row r="4" spans="1:16" ht="20.100000000000001" customHeight="1">
      <c r="A4" s="298"/>
      <c r="B4" s="196"/>
      <c r="C4" s="197"/>
      <c r="D4" s="198" t="s">
        <v>87</v>
      </c>
      <c r="E4" s="198" t="s">
        <v>88</v>
      </c>
      <c r="F4" s="198" t="s">
        <v>89</v>
      </c>
      <c r="G4" s="198" t="s">
        <v>90</v>
      </c>
      <c r="H4" s="198" t="s">
        <v>91</v>
      </c>
      <c r="I4" s="198" t="s">
        <v>92</v>
      </c>
      <c r="J4" s="198" t="s">
        <v>93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94</v>
      </c>
      <c r="C5" s="197"/>
      <c r="D5" s="198" t="s">
        <v>95</v>
      </c>
      <c r="E5" s="198" t="s">
        <v>96</v>
      </c>
      <c r="F5" s="198" t="s">
        <v>97</v>
      </c>
      <c r="G5" s="198" t="s">
        <v>98</v>
      </c>
      <c r="H5" s="198" t="s">
        <v>99</v>
      </c>
      <c r="I5" s="198" t="s">
        <v>100</v>
      </c>
      <c r="J5" s="198" t="s">
        <v>101</v>
      </c>
      <c r="K5" s="198" t="s">
        <v>102</v>
      </c>
      <c r="L5" s="199" t="s">
        <v>103</v>
      </c>
      <c r="M5" s="199" t="s">
        <v>104</v>
      </c>
      <c r="N5" s="201" t="s">
        <v>147</v>
      </c>
      <c r="O5" s="201" t="s">
        <v>251</v>
      </c>
      <c r="P5" s="202" t="s">
        <v>250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8"/>
      <c r="P6" s="198"/>
    </row>
    <row r="7" spans="1:16" ht="21" customHeight="1">
      <c r="A7" s="204">
        <v>1</v>
      </c>
      <c r="B7" s="198" t="s">
        <v>105</v>
      </c>
      <c r="C7" s="205" t="s">
        <v>106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102</v>
      </c>
      <c r="M7" s="207">
        <f t="shared" ref="M7:M21" si="0">MAX(D7:J7)</f>
        <v>1</v>
      </c>
      <c r="N7" s="208" t="s">
        <v>365</v>
      </c>
      <c r="O7" s="98"/>
      <c r="P7" s="198"/>
    </row>
    <row r="8" spans="1:16" ht="21" customHeight="1">
      <c r="A8" s="204">
        <v>2</v>
      </c>
      <c r="B8" s="198" t="s">
        <v>107</v>
      </c>
      <c r="C8" s="205" t="s">
        <v>108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102</v>
      </c>
      <c r="M8" s="207">
        <f t="shared" si="0"/>
        <v>1</v>
      </c>
      <c r="N8" s="208" t="s">
        <v>365</v>
      </c>
      <c r="O8" s="98"/>
      <c r="P8" s="198"/>
    </row>
    <row r="9" spans="1:16" ht="21" customHeight="1">
      <c r="A9" s="204">
        <v>3</v>
      </c>
      <c r="B9" s="198" t="s">
        <v>247</v>
      </c>
      <c r="C9" s="209" t="s">
        <v>5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102</v>
      </c>
      <c r="M9" s="207">
        <f t="shared" ref="M9" si="1">MAX(D9:J9)</f>
        <v>1</v>
      </c>
      <c r="N9" s="208" t="s">
        <v>5</v>
      </c>
      <c r="O9" s="98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>
      <c r="A11" s="204">
        <v>4</v>
      </c>
      <c r="B11" s="198" t="s">
        <v>109</v>
      </c>
      <c r="C11" s="212" t="s">
        <v>110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96</v>
      </c>
      <c r="M11" s="207">
        <f t="shared" si="0"/>
        <v>1.0522626697461936</v>
      </c>
      <c r="N11" s="208" t="s">
        <v>254</v>
      </c>
      <c r="O11" s="98" t="s">
        <v>252</v>
      </c>
      <c r="P11" s="198"/>
    </row>
    <row r="12" spans="1:16">
      <c r="A12" s="204">
        <v>5</v>
      </c>
      <c r="B12" s="198" t="s">
        <v>111</v>
      </c>
      <c r="C12" s="212" t="s">
        <v>112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95</v>
      </c>
      <c r="M12" s="207">
        <f t="shared" si="0"/>
        <v>1.0358469949391176</v>
      </c>
      <c r="N12" s="208" t="s">
        <v>254</v>
      </c>
      <c r="O12" s="98" t="s">
        <v>252</v>
      </c>
      <c r="P12" s="198"/>
    </row>
    <row r="13" spans="1:16">
      <c r="A13" s="204">
        <v>6</v>
      </c>
      <c r="B13" s="198" t="s">
        <v>113</v>
      </c>
      <c r="C13" s="212" t="s">
        <v>114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95</v>
      </c>
      <c r="M13" s="207">
        <f t="shared" si="0"/>
        <v>1.069856584592316</v>
      </c>
      <c r="N13" s="208" t="s">
        <v>254</v>
      </c>
      <c r="O13" s="98" t="s">
        <v>252</v>
      </c>
      <c r="P13" s="198"/>
    </row>
    <row r="14" spans="1:16" ht="21" customHeight="1">
      <c r="A14" s="204">
        <v>7</v>
      </c>
      <c r="B14" s="198" t="s">
        <v>115</v>
      </c>
      <c r="C14" s="212" t="s">
        <v>116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95</v>
      </c>
      <c r="M14" s="207">
        <f t="shared" si="0"/>
        <v>1.1052461688999999</v>
      </c>
      <c r="N14" s="208" t="s">
        <v>254</v>
      </c>
      <c r="O14" s="98" t="s">
        <v>252</v>
      </c>
      <c r="P14" s="198"/>
    </row>
    <row r="15" spans="1:16" ht="21" customHeight="1">
      <c r="A15" s="204">
        <v>8</v>
      </c>
      <c r="B15" s="198" t="s">
        <v>117</v>
      </c>
      <c r="C15" s="212" t="s">
        <v>118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96</v>
      </c>
      <c r="M15" s="207">
        <f t="shared" si="0"/>
        <v>1.0389446761000001</v>
      </c>
      <c r="N15" s="208" t="s">
        <v>254</v>
      </c>
      <c r="O15" s="98" t="s">
        <v>252</v>
      </c>
      <c r="P15" s="198"/>
    </row>
    <row r="16" spans="1:16" ht="21" customHeight="1">
      <c r="A16" s="204">
        <v>9</v>
      </c>
      <c r="B16" s="198" t="s">
        <v>123</v>
      </c>
      <c r="C16" s="212" t="s">
        <v>124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97</v>
      </c>
      <c r="M16" s="207">
        <f>MAX(D16:J16)</f>
        <v>1.2706602107</v>
      </c>
      <c r="N16" s="208" t="s">
        <v>254</v>
      </c>
      <c r="O16" s="98" t="s">
        <v>252</v>
      </c>
      <c r="P16" s="198"/>
    </row>
    <row r="17" spans="1:16" ht="21" customHeight="1">
      <c r="A17" s="204">
        <v>10</v>
      </c>
      <c r="B17" s="198" t="s">
        <v>119</v>
      </c>
      <c r="C17" s="213" t="s">
        <v>120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100</v>
      </c>
      <c r="M17" s="207">
        <f t="shared" si="0"/>
        <v>1.0355882019</v>
      </c>
      <c r="N17" s="208" t="s">
        <v>254</v>
      </c>
      <c r="O17" s="98" t="s">
        <v>253</v>
      </c>
      <c r="P17" s="198" t="s">
        <v>117</v>
      </c>
    </row>
    <row r="18" spans="1:16" ht="21" customHeight="1">
      <c r="A18" s="204">
        <v>11</v>
      </c>
      <c r="B18" s="198" t="s">
        <v>121</v>
      </c>
      <c r="C18" s="213" t="s">
        <v>122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99</v>
      </c>
      <c r="M18" s="207">
        <f t="shared" si="0"/>
        <v>1.1401797148999999</v>
      </c>
      <c r="N18" s="208" t="s">
        <v>254</v>
      </c>
      <c r="O18" s="98" t="s">
        <v>253</v>
      </c>
      <c r="P18" s="198" t="s">
        <v>123</v>
      </c>
    </row>
    <row r="19" spans="1:16" ht="21" customHeight="1">
      <c r="A19" s="204">
        <v>12</v>
      </c>
      <c r="B19" s="198" t="s">
        <v>125</v>
      </c>
      <c r="C19" s="213" t="s">
        <v>126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98</v>
      </c>
      <c r="M19" s="207">
        <f t="shared" si="0"/>
        <v>1.0552346931000001</v>
      </c>
      <c r="N19" s="208" t="s">
        <v>254</v>
      </c>
      <c r="O19" s="98" t="s">
        <v>253</v>
      </c>
      <c r="P19" s="198" t="s">
        <v>109</v>
      </c>
    </row>
    <row r="20" spans="1:16" ht="21" customHeight="1">
      <c r="A20" s="204">
        <v>13</v>
      </c>
      <c r="B20" s="198" t="s">
        <v>127</v>
      </c>
      <c r="C20" s="213" t="s">
        <v>128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95</v>
      </c>
      <c r="M20" s="207">
        <f t="shared" si="0"/>
        <v>1.0865859003</v>
      </c>
      <c r="N20" s="208" t="s">
        <v>254</v>
      </c>
      <c r="O20" s="98" t="s">
        <v>253</v>
      </c>
      <c r="P20" s="198" t="s">
        <v>111</v>
      </c>
    </row>
    <row r="21" spans="1:16" ht="24.75" customHeight="1">
      <c r="A21" s="204">
        <v>14</v>
      </c>
      <c r="B21" s="198" t="s">
        <v>129</v>
      </c>
      <c r="C21" s="213" t="s">
        <v>130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96</v>
      </c>
      <c r="M21" s="207">
        <f t="shared" si="0"/>
        <v>1.0522626697461936</v>
      </c>
      <c r="N21" s="208" t="s">
        <v>254</v>
      </c>
      <c r="O21" s="98" t="s">
        <v>253</v>
      </c>
      <c r="P21" s="198" t="s">
        <v>117</v>
      </c>
    </row>
    <row r="22" spans="1:16" ht="25.5">
      <c r="A22" s="204">
        <v>15</v>
      </c>
      <c r="B22" s="198" t="s">
        <v>131</v>
      </c>
      <c r="C22" s="214" t="s">
        <v>132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96</v>
      </c>
      <c r="M22" s="207">
        <f>MAX(D22:J22)</f>
        <v>1.03</v>
      </c>
      <c r="N22" s="208" t="s">
        <v>254</v>
      </c>
      <c r="O22" s="98" t="s">
        <v>253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b9f00-f4e5-4488-840e-6084e0f110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Kerstin Labouvie</cp:lastModifiedBy>
  <cp:lastPrinted>2015-03-20T22:59:10Z</cp:lastPrinted>
  <dcterms:created xsi:type="dcterms:W3CDTF">2015-01-15T05:25:41Z</dcterms:created>
  <dcterms:modified xsi:type="dcterms:W3CDTF">2023-06-14T11:01:49Z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